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8_{7DA0445C-E505-4994-944C-064DDD35CD0A}" xr6:coauthVersionLast="40" xr6:coauthVersionMax="40" xr10:uidLastSave="{00000000-0000-0000-0000-000000000000}"/>
  <bookViews>
    <workbookView xWindow="-120" yWindow="-120" windowWidth="15600" windowHeight="11310" tabRatio="825" activeTab="10" xr2:uid="{00000000-000D-0000-FFFF-FFFF00000000}"/>
  </bookViews>
  <sheets>
    <sheet name="сводная" sheetId="42" r:id="rId1"/>
    <sheet name="1-пн" sheetId="43" r:id="rId2"/>
    <sheet name="1-вт" sheetId="50" r:id="rId3"/>
    <sheet name="1-ср" sheetId="48" r:id="rId4"/>
    <sheet name="1-чт" sheetId="52" r:id="rId5"/>
    <sheet name="1-пт" sheetId="54" r:id="rId6"/>
    <sheet name="2-пн" sheetId="49" r:id="rId7"/>
    <sheet name="2-вт" sheetId="55" r:id="rId8"/>
    <sheet name="2-ср" sheetId="56" r:id="rId9"/>
    <sheet name="2-чт" sheetId="46" r:id="rId10"/>
    <sheet name="2-пт" sheetId="57" r:id="rId11"/>
    <sheet name="000" sheetId="29" r:id="rId12"/>
  </sheets>
  <definedNames>
    <definedName name="_xlnm.Print_Area" localSheetId="2">'1-вт'!$A$1:$O$33</definedName>
    <definedName name="_xlnm.Print_Area" localSheetId="1">'1-пн'!$A$1:$O$39</definedName>
    <definedName name="_xlnm.Print_Area" localSheetId="5">'1-пт'!$A$3:$N$30</definedName>
    <definedName name="_xlnm.Print_Area" localSheetId="3">'1-ср'!$A$3:$N$36</definedName>
    <definedName name="_xlnm.Print_Area" localSheetId="4">'1-чт'!$A$3:$N$31</definedName>
    <definedName name="_xlnm.Print_Area" localSheetId="7">'2-вт'!$A$3:$N$31</definedName>
    <definedName name="_xlnm.Print_Area" localSheetId="6">'2-пн'!$A$1:$N$33</definedName>
    <definedName name="_xlnm.Print_Area" localSheetId="10">'2-пт'!$A$1:$O$38</definedName>
    <definedName name="_xlnm.Print_Area" localSheetId="8">'2-ср'!$A$2:$N$32</definedName>
    <definedName name="_xlnm.Print_Area" localSheetId="9">'2-чт'!$A$3:$N$36</definedName>
    <definedName name="_xlnm.Print_Area" localSheetId="0">сводная!#REF!</definedName>
  </definedNames>
  <calcPr calcId="191029"/>
</workbook>
</file>

<file path=xl/calcChain.xml><?xml version="1.0" encoding="utf-8"?>
<calcChain xmlns="http://schemas.openxmlformats.org/spreadsheetml/2006/main">
  <c r="L19" i="52" l="1"/>
  <c r="K19" i="52"/>
  <c r="J19" i="52"/>
  <c r="I19" i="52"/>
  <c r="H19" i="52"/>
  <c r="N19" i="52" s="1"/>
  <c r="G19" i="52"/>
  <c r="M19" i="52" s="1"/>
  <c r="L17" i="52"/>
  <c r="K17" i="52"/>
  <c r="J17" i="52"/>
  <c r="I17" i="52"/>
  <c r="H17" i="52"/>
  <c r="N17" i="52" s="1"/>
  <c r="G17" i="52"/>
  <c r="M17" i="52" s="1"/>
  <c r="G18" i="52"/>
  <c r="H18" i="52"/>
  <c r="I18" i="52"/>
  <c r="J18" i="52"/>
  <c r="K18" i="52"/>
  <c r="L18" i="52"/>
  <c r="M18" i="52"/>
  <c r="N18" i="52"/>
  <c r="L21" i="52"/>
  <c r="K21" i="52"/>
  <c r="J21" i="52"/>
  <c r="I21" i="52"/>
  <c r="H21" i="52"/>
  <c r="N21" i="52" s="1"/>
  <c r="G21" i="52"/>
  <c r="M21" i="52" s="1"/>
  <c r="L20" i="52"/>
  <c r="K20" i="52"/>
  <c r="J20" i="52"/>
  <c r="I20" i="52"/>
  <c r="H20" i="52"/>
  <c r="N20" i="52" s="1"/>
  <c r="G20" i="52"/>
  <c r="M20" i="52" s="1"/>
  <c r="L18" i="55" l="1"/>
  <c r="K18" i="55"/>
  <c r="J18" i="55"/>
  <c r="I18" i="55"/>
  <c r="H18" i="55"/>
  <c r="N18" i="55" s="1"/>
  <c r="G18" i="55"/>
  <c r="M18" i="55" s="1"/>
  <c r="L19" i="57" l="1"/>
  <c r="K19" i="57"/>
  <c r="J19" i="57"/>
  <c r="I19" i="57"/>
  <c r="H19" i="57"/>
  <c r="N19" i="57" s="1"/>
  <c r="G19" i="57"/>
  <c r="M19" i="57" s="1"/>
  <c r="L18" i="49" l="1"/>
  <c r="K18" i="49"/>
  <c r="J18" i="49"/>
  <c r="I18" i="49"/>
  <c r="H18" i="49"/>
  <c r="N18" i="49" s="1"/>
  <c r="G18" i="49"/>
  <c r="M18" i="49" s="1"/>
  <c r="G19" i="49"/>
  <c r="H19" i="49"/>
  <c r="I19" i="49"/>
  <c r="J19" i="49"/>
  <c r="K19" i="49"/>
  <c r="L19" i="49"/>
  <c r="M19" i="49"/>
  <c r="N19" i="49"/>
  <c r="L26" i="57" l="1"/>
  <c r="K26" i="57"/>
  <c r="J26" i="57"/>
  <c r="I26" i="57"/>
  <c r="H26" i="57"/>
  <c r="N26" i="57" s="1"/>
  <c r="G26" i="57"/>
  <c r="M26" i="57" s="1"/>
  <c r="L27" i="57"/>
  <c r="K27" i="57"/>
  <c r="J27" i="57"/>
  <c r="I27" i="57"/>
  <c r="H27" i="57"/>
  <c r="N27" i="57" s="1"/>
  <c r="G27" i="57"/>
  <c r="M27" i="57" s="1"/>
  <c r="F15" i="57"/>
  <c r="E15" i="57"/>
  <c r="L14" i="57"/>
  <c r="K14" i="57"/>
  <c r="J14" i="57"/>
  <c r="I14" i="57"/>
  <c r="H14" i="57"/>
  <c r="N14" i="57" s="1"/>
  <c r="G14" i="57"/>
  <c r="M14" i="57" s="1"/>
  <c r="L13" i="57"/>
  <c r="L15" i="57" s="1"/>
  <c r="K13" i="57"/>
  <c r="K15" i="57" s="1"/>
  <c r="J13" i="57"/>
  <c r="J15" i="57" s="1"/>
  <c r="I13" i="57"/>
  <c r="I15" i="57" s="1"/>
  <c r="H13" i="57"/>
  <c r="H15" i="57" s="1"/>
  <c r="G13" i="57"/>
  <c r="G15" i="57" s="1"/>
  <c r="L10" i="57"/>
  <c r="K10" i="57"/>
  <c r="J10" i="57"/>
  <c r="I10" i="57"/>
  <c r="H10" i="57"/>
  <c r="N10" i="57" s="1"/>
  <c r="G10" i="57"/>
  <c r="M10" i="57" s="1"/>
  <c r="L11" i="56"/>
  <c r="K11" i="56"/>
  <c r="J11" i="56"/>
  <c r="I11" i="56"/>
  <c r="H11" i="56"/>
  <c r="N11" i="56" s="1"/>
  <c r="G11" i="56"/>
  <c r="M11" i="56" s="1"/>
  <c r="J27" i="55"/>
  <c r="I27" i="55"/>
  <c r="F12" i="55"/>
  <c r="E12" i="55"/>
  <c r="L29" i="55"/>
  <c r="K29" i="55"/>
  <c r="J29" i="55"/>
  <c r="I29" i="55"/>
  <c r="H29" i="55"/>
  <c r="N29" i="55" s="1"/>
  <c r="G29" i="55"/>
  <c r="M29" i="55" s="1"/>
  <c r="L11" i="55"/>
  <c r="K11" i="55"/>
  <c r="J11" i="55"/>
  <c r="I11" i="55"/>
  <c r="H11" i="55"/>
  <c r="N11" i="55" s="1"/>
  <c r="G11" i="55"/>
  <c r="M11" i="55" s="1"/>
  <c r="L17" i="55"/>
  <c r="K17" i="55"/>
  <c r="J17" i="55"/>
  <c r="I17" i="55"/>
  <c r="H17" i="55"/>
  <c r="N17" i="55" s="1"/>
  <c r="G17" i="55"/>
  <c r="M17" i="55" s="1"/>
  <c r="L28" i="55"/>
  <c r="K28" i="55"/>
  <c r="J28" i="55"/>
  <c r="I28" i="55"/>
  <c r="H28" i="55"/>
  <c r="N28" i="55" s="1"/>
  <c r="G28" i="55"/>
  <c r="M28" i="55" s="1"/>
  <c r="L21" i="55"/>
  <c r="K21" i="55"/>
  <c r="J21" i="55"/>
  <c r="I21" i="55"/>
  <c r="H21" i="55"/>
  <c r="N21" i="55" s="1"/>
  <c r="G21" i="55"/>
  <c r="M21" i="55" s="1"/>
  <c r="L18" i="57"/>
  <c r="K18" i="57"/>
  <c r="J18" i="57"/>
  <c r="I18" i="57"/>
  <c r="H18" i="57"/>
  <c r="N18" i="57" s="1"/>
  <c r="G18" i="57"/>
  <c r="M18" i="57" s="1"/>
  <c r="L8" i="55"/>
  <c r="K8" i="55"/>
  <c r="J8" i="55"/>
  <c r="I8" i="55"/>
  <c r="H8" i="55"/>
  <c r="N8" i="55" s="1"/>
  <c r="G8" i="55"/>
  <c r="M8" i="55" s="1"/>
  <c r="M13" i="57" l="1"/>
  <c r="M15" i="57" s="1"/>
  <c r="N13" i="57"/>
  <c r="N15" i="57" s="1"/>
  <c r="L20" i="49"/>
  <c r="K20" i="49"/>
  <c r="J20" i="49"/>
  <c r="I20" i="49"/>
  <c r="H20" i="49"/>
  <c r="N20" i="49" s="1"/>
  <c r="G20" i="49"/>
  <c r="M20" i="49" s="1"/>
  <c r="L20" i="54"/>
  <c r="K20" i="54"/>
  <c r="J20" i="54"/>
  <c r="I20" i="54"/>
  <c r="H20" i="54"/>
  <c r="N20" i="54" s="1"/>
  <c r="G20" i="54"/>
  <c r="M20" i="54" s="1"/>
  <c r="F16" i="54"/>
  <c r="E16" i="54"/>
  <c r="L15" i="54"/>
  <c r="K15" i="54"/>
  <c r="J15" i="54"/>
  <c r="I15" i="54"/>
  <c r="H15" i="54"/>
  <c r="N15" i="54" s="1"/>
  <c r="G15" i="54"/>
  <c r="M15" i="54" s="1"/>
  <c r="L14" i="54"/>
  <c r="L16" i="54" s="1"/>
  <c r="K14" i="54"/>
  <c r="K16" i="54" s="1"/>
  <c r="J14" i="54"/>
  <c r="J16" i="54" s="1"/>
  <c r="I14" i="54"/>
  <c r="I16" i="54" s="1"/>
  <c r="H14" i="54"/>
  <c r="H16" i="54" s="1"/>
  <c r="G14" i="54"/>
  <c r="G16" i="54" s="1"/>
  <c r="L11" i="52"/>
  <c r="K11" i="52"/>
  <c r="J11" i="52"/>
  <c r="I11" i="52"/>
  <c r="H11" i="52"/>
  <c r="N11" i="52" s="1"/>
  <c r="G11" i="52"/>
  <c r="M11" i="52" s="1"/>
  <c r="L17" i="48"/>
  <c r="K17" i="48"/>
  <c r="J17" i="48"/>
  <c r="I17" i="48"/>
  <c r="H17" i="48"/>
  <c r="N17" i="48" s="1"/>
  <c r="G17" i="48"/>
  <c r="M17" i="48" s="1"/>
  <c r="M14" i="54" l="1"/>
  <c r="M16" i="54" s="1"/>
  <c r="N14" i="54"/>
  <c r="N16" i="54" s="1"/>
  <c r="G18" i="48" l="1"/>
  <c r="H18" i="48"/>
  <c r="I18" i="48"/>
  <c r="J18" i="48"/>
  <c r="K18" i="48"/>
  <c r="L18" i="48"/>
  <c r="M18" i="48"/>
  <c r="N18" i="48"/>
  <c r="L17" i="57" l="1"/>
  <c r="K17" i="57"/>
  <c r="J17" i="57"/>
  <c r="I17" i="57"/>
  <c r="H17" i="57"/>
  <c r="N17" i="57" s="1"/>
  <c r="G17" i="57"/>
  <c r="M17" i="57" s="1"/>
  <c r="L32" i="46"/>
  <c r="K32" i="46"/>
  <c r="J32" i="46"/>
  <c r="I32" i="46"/>
  <c r="H32" i="46"/>
  <c r="N32" i="46" s="1"/>
  <c r="G32" i="46"/>
  <c r="M32" i="46" s="1"/>
  <c r="L31" i="46"/>
  <c r="K31" i="46"/>
  <c r="J31" i="46"/>
  <c r="I31" i="46"/>
  <c r="H31" i="46"/>
  <c r="N31" i="46" s="1"/>
  <c r="G31" i="46"/>
  <c r="M31" i="46" s="1"/>
  <c r="L30" i="46"/>
  <c r="K30" i="46"/>
  <c r="J30" i="46"/>
  <c r="I30" i="46"/>
  <c r="H30" i="46"/>
  <c r="N30" i="46" s="1"/>
  <c r="G30" i="46"/>
  <c r="M30" i="46" s="1"/>
  <c r="L29" i="46"/>
  <c r="K29" i="46"/>
  <c r="J29" i="46"/>
  <c r="I29" i="46"/>
  <c r="H29" i="46"/>
  <c r="N29" i="46" s="1"/>
  <c r="G29" i="46"/>
  <c r="M29" i="46" s="1"/>
  <c r="L14" i="55"/>
  <c r="K14" i="55"/>
  <c r="J14" i="55"/>
  <c r="I14" i="55"/>
  <c r="H14" i="55"/>
  <c r="N14" i="55" s="1"/>
  <c r="G14" i="55"/>
  <c r="M14" i="55" s="1"/>
  <c r="L25" i="54"/>
  <c r="K25" i="54"/>
  <c r="J25" i="54"/>
  <c r="I25" i="54"/>
  <c r="H25" i="54"/>
  <c r="N25" i="54" s="1"/>
  <c r="G25" i="54"/>
  <c r="L20" i="48"/>
  <c r="K20" i="48"/>
  <c r="J20" i="48"/>
  <c r="I20" i="48"/>
  <c r="H20" i="48"/>
  <c r="N20" i="48" s="1"/>
  <c r="G20" i="48"/>
  <c r="M20" i="48" s="1"/>
  <c r="L8" i="48"/>
  <c r="K8" i="48"/>
  <c r="J8" i="48"/>
  <c r="I8" i="48"/>
  <c r="H8" i="48"/>
  <c r="N8" i="48" s="1"/>
  <c r="G8" i="48"/>
  <c r="M8" i="48" s="1"/>
  <c r="L8" i="50"/>
  <c r="K8" i="50"/>
  <c r="J8" i="50"/>
  <c r="I8" i="50"/>
  <c r="H8" i="50"/>
  <c r="N8" i="50" s="1"/>
  <c r="G8" i="50"/>
  <c r="M8" i="50" s="1"/>
  <c r="H18" i="50"/>
  <c r="G18" i="50"/>
  <c r="L20" i="50"/>
  <c r="K20" i="50"/>
  <c r="J20" i="50"/>
  <c r="I20" i="50"/>
  <c r="H20" i="50"/>
  <c r="N20" i="50" s="1"/>
  <c r="G20" i="50"/>
  <c r="M20" i="50" s="1"/>
  <c r="L17" i="50"/>
  <c r="K17" i="50"/>
  <c r="J17" i="50"/>
  <c r="I17" i="50"/>
  <c r="H17" i="50"/>
  <c r="N17" i="50" s="1"/>
  <c r="G17" i="50"/>
  <c r="M17" i="50" s="1"/>
  <c r="L36" i="43"/>
  <c r="K36" i="43"/>
  <c r="J36" i="43"/>
  <c r="I36" i="43"/>
  <c r="H36" i="43"/>
  <c r="N36" i="43" s="1"/>
  <c r="G36" i="43"/>
  <c r="M36" i="43" s="1"/>
  <c r="L35" i="43"/>
  <c r="K35" i="43"/>
  <c r="J35" i="43"/>
  <c r="I35" i="43"/>
  <c r="H35" i="43"/>
  <c r="N35" i="43" s="1"/>
  <c r="G35" i="43"/>
  <c r="M35" i="43" s="1"/>
  <c r="L26" i="43"/>
  <c r="K26" i="43"/>
  <c r="J26" i="43"/>
  <c r="I26" i="43"/>
  <c r="H26" i="43"/>
  <c r="N26" i="43" s="1"/>
  <c r="G26" i="43"/>
  <c r="M26" i="43" s="1"/>
  <c r="G27" i="43"/>
  <c r="H27" i="43"/>
  <c r="I27" i="43"/>
  <c r="J27" i="43"/>
  <c r="K27" i="43"/>
  <c r="L27" i="43"/>
  <c r="M27" i="43"/>
  <c r="N27" i="43"/>
  <c r="L16" i="43"/>
  <c r="K16" i="43"/>
  <c r="J16" i="43"/>
  <c r="I16" i="43"/>
  <c r="H16" i="43"/>
  <c r="N16" i="43" s="1"/>
  <c r="G16" i="43"/>
  <c r="M16" i="43" s="1"/>
  <c r="M25" i="54" l="1"/>
  <c r="F28" i="57" l="1"/>
  <c r="E28" i="57"/>
  <c r="L25" i="57"/>
  <c r="L28" i="57" s="1"/>
  <c r="K25" i="57"/>
  <c r="K28" i="57" s="1"/>
  <c r="J25" i="57"/>
  <c r="J28" i="57" s="1"/>
  <c r="I25" i="57"/>
  <c r="I28" i="57" s="1"/>
  <c r="H25" i="57"/>
  <c r="H28" i="57" s="1"/>
  <c r="G25" i="57"/>
  <c r="G28" i="57" s="1"/>
  <c r="F23" i="57"/>
  <c r="E23" i="57"/>
  <c r="L22" i="57"/>
  <c r="K22" i="57"/>
  <c r="J22" i="57"/>
  <c r="I22" i="57"/>
  <c r="H22" i="57"/>
  <c r="N22" i="57" s="1"/>
  <c r="G22" i="57"/>
  <c r="M22" i="57" s="1"/>
  <c r="L21" i="57"/>
  <c r="K21" i="57"/>
  <c r="J21" i="57"/>
  <c r="I21" i="57"/>
  <c r="H21" i="57"/>
  <c r="N21" i="57" s="1"/>
  <c r="G21" i="57"/>
  <c r="M21" i="57" s="1"/>
  <c r="L20" i="57"/>
  <c r="K20" i="57"/>
  <c r="J20" i="57"/>
  <c r="I20" i="57"/>
  <c r="H20" i="57"/>
  <c r="N20" i="57" s="1"/>
  <c r="G20" i="57"/>
  <c r="M20" i="57" s="1"/>
  <c r="L23" i="57"/>
  <c r="K23" i="57"/>
  <c r="J23" i="57"/>
  <c r="I23" i="57"/>
  <c r="H23" i="57"/>
  <c r="G23" i="57"/>
  <c r="F11" i="57"/>
  <c r="E11" i="57"/>
  <c r="L9" i="57"/>
  <c r="K9" i="57"/>
  <c r="J9" i="57"/>
  <c r="I9" i="57"/>
  <c r="H9" i="57"/>
  <c r="N9" i="57" s="1"/>
  <c r="G9" i="57"/>
  <c r="M9" i="57" s="1"/>
  <c r="L8" i="57"/>
  <c r="K8" i="57"/>
  <c r="J8" i="57"/>
  <c r="I8" i="57"/>
  <c r="H8" i="57"/>
  <c r="N8" i="57" s="1"/>
  <c r="G8" i="57"/>
  <c r="M8" i="57" s="1"/>
  <c r="L7" i="57"/>
  <c r="K7" i="57"/>
  <c r="K11" i="57" s="1"/>
  <c r="J7" i="57"/>
  <c r="J11" i="57" s="1"/>
  <c r="I7" i="57"/>
  <c r="I11" i="57" s="1"/>
  <c r="H7" i="57"/>
  <c r="N7" i="57" s="1"/>
  <c r="G7" i="57"/>
  <c r="G11" i="57" s="1"/>
  <c r="M11" i="57" s="1"/>
  <c r="F28" i="56"/>
  <c r="E28" i="56"/>
  <c r="L27" i="56"/>
  <c r="K27" i="56"/>
  <c r="J27" i="56"/>
  <c r="I27" i="56"/>
  <c r="H27" i="56"/>
  <c r="N27" i="56" s="1"/>
  <c r="G27" i="56"/>
  <c r="M27" i="56" s="1"/>
  <c r="L26" i="56"/>
  <c r="K26" i="56"/>
  <c r="J26" i="56"/>
  <c r="I26" i="56"/>
  <c r="H26" i="56"/>
  <c r="N26" i="56" s="1"/>
  <c r="G26" i="56"/>
  <c r="L25" i="56"/>
  <c r="L28" i="56" s="1"/>
  <c r="K25" i="56"/>
  <c r="J25" i="56"/>
  <c r="J28" i="56" s="1"/>
  <c r="I25" i="56"/>
  <c r="I28" i="56" s="1"/>
  <c r="H25" i="56"/>
  <c r="H28" i="56" s="1"/>
  <c r="G25" i="56"/>
  <c r="M25" i="56" s="1"/>
  <c r="F23" i="56"/>
  <c r="E23" i="56"/>
  <c r="L22" i="56"/>
  <c r="K22" i="56"/>
  <c r="J22" i="56"/>
  <c r="I22" i="56"/>
  <c r="H22" i="56"/>
  <c r="N22" i="56" s="1"/>
  <c r="G22" i="56"/>
  <c r="M22" i="56" s="1"/>
  <c r="L21" i="56"/>
  <c r="K21" i="56"/>
  <c r="J21" i="56"/>
  <c r="I21" i="56"/>
  <c r="H21" i="56"/>
  <c r="N21" i="56" s="1"/>
  <c r="G21" i="56"/>
  <c r="M21" i="56" s="1"/>
  <c r="L20" i="56"/>
  <c r="K20" i="56"/>
  <c r="J20" i="56"/>
  <c r="I20" i="56"/>
  <c r="H20" i="56"/>
  <c r="N20" i="56" s="1"/>
  <c r="G20" i="56"/>
  <c r="M20" i="56" s="1"/>
  <c r="L19" i="56"/>
  <c r="K19" i="56"/>
  <c r="J19" i="56"/>
  <c r="I19" i="56"/>
  <c r="H19" i="56"/>
  <c r="N19" i="56" s="1"/>
  <c r="G19" i="56"/>
  <c r="M19" i="56" s="1"/>
  <c r="L18" i="56"/>
  <c r="K18" i="56"/>
  <c r="J18" i="56"/>
  <c r="I18" i="56"/>
  <c r="H18" i="56"/>
  <c r="N18" i="56" s="1"/>
  <c r="G18" i="56"/>
  <c r="M18" i="56" s="1"/>
  <c r="L17" i="56"/>
  <c r="L23" i="56" s="1"/>
  <c r="K17" i="56"/>
  <c r="K23" i="56" s="1"/>
  <c r="J17" i="56"/>
  <c r="J23" i="56" s="1"/>
  <c r="I17" i="56"/>
  <c r="H17" i="56"/>
  <c r="H23" i="56" s="1"/>
  <c r="G17" i="56"/>
  <c r="G23" i="56" s="1"/>
  <c r="F15" i="56"/>
  <c r="E15" i="56"/>
  <c r="L14" i="56"/>
  <c r="L15" i="56" s="1"/>
  <c r="K14" i="56"/>
  <c r="K15" i="56" s="1"/>
  <c r="J14" i="56"/>
  <c r="J15" i="56" s="1"/>
  <c r="I14" i="56"/>
  <c r="I15" i="56" s="1"/>
  <c r="H14" i="56"/>
  <c r="H15" i="56" s="1"/>
  <c r="N15" i="56" s="1"/>
  <c r="G14" i="56"/>
  <c r="G15" i="56" s="1"/>
  <c r="M15" i="56" s="1"/>
  <c r="F12" i="56"/>
  <c r="E12" i="56"/>
  <c r="L10" i="56"/>
  <c r="K10" i="56"/>
  <c r="J10" i="56"/>
  <c r="I10" i="56"/>
  <c r="H10" i="56"/>
  <c r="N10" i="56" s="1"/>
  <c r="G10" i="56"/>
  <c r="M10" i="56" s="1"/>
  <c r="L9" i="56"/>
  <c r="K9" i="56"/>
  <c r="J9" i="56"/>
  <c r="I9" i="56"/>
  <c r="H9" i="56"/>
  <c r="N9" i="56" s="1"/>
  <c r="G9" i="56"/>
  <c r="M9" i="56" s="1"/>
  <c r="L8" i="56"/>
  <c r="L12" i="56" s="1"/>
  <c r="K8" i="56"/>
  <c r="K12" i="56" s="1"/>
  <c r="J8" i="56"/>
  <c r="J12" i="56" s="1"/>
  <c r="I8" i="56"/>
  <c r="I12" i="56" s="1"/>
  <c r="H8" i="56"/>
  <c r="H12" i="56" s="1"/>
  <c r="N12" i="56" s="1"/>
  <c r="G8" i="56"/>
  <c r="G12" i="56" s="1"/>
  <c r="M12" i="56" s="1"/>
  <c r="F30" i="55"/>
  <c r="E30" i="55"/>
  <c r="L27" i="55"/>
  <c r="L30" i="55" s="1"/>
  <c r="K27" i="55"/>
  <c r="K30" i="55" s="1"/>
  <c r="J30" i="55"/>
  <c r="I30" i="55"/>
  <c r="H27" i="55"/>
  <c r="H30" i="55" s="1"/>
  <c r="G27" i="55"/>
  <c r="G30" i="55" s="1"/>
  <c r="F25" i="55"/>
  <c r="E25" i="55"/>
  <c r="L24" i="55"/>
  <c r="K24" i="55"/>
  <c r="J24" i="55"/>
  <c r="I24" i="55"/>
  <c r="H24" i="55"/>
  <c r="N24" i="55" s="1"/>
  <c r="G24" i="55"/>
  <c r="M24" i="55" s="1"/>
  <c r="L23" i="55"/>
  <c r="K23" i="55"/>
  <c r="J23" i="55"/>
  <c r="I23" i="55"/>
  <c r="H23" i="55"/>
  <c r="N23" i="55" s="1"/>
  <c r="G23" i="55"/>
  <c r="M23" i="55" s="1"/>
  <c r="L22" i="55"/>
  <c r="K22" i="55"/>
  <c r="J22" i="55"/>
  <c r="I22" i="55"/>
  <c r="H22" i="55"/>
  <c r="N22" i="55" s="1"/>
  <c r="G22" i="55"/>
  <c r="M22" i="55" s="1"/>
  <c r="L20" i="55"/>
  <c r="K20" i="55"/>
  <c r="J20" i="55"/>
  <c r="I20" i="55"/>
  <c r="H20" i="55"/>
  <c r="N20" i="55" s="1"/>
  <c r="G20" i="55"/>
  <c r="M20" i="55" s="1"/>
  <c r="L19" i="55"/>
  <c r="K19" i="55"/>
  <c r="J19" i="55"/>
  <c r="I19" i="55"/>
  <c r="H19" i="55"/>
  <c r="N19" i="55" s="1"/>
  <c r="G19" i="55"/>
  <c r="M19" i="55" s="1"/>
  <c r="L25" i="55"/>
  <c r="I25" i="55"/>
  <c r="F15" i="55"/>
  <c r="E15" i="55"/>
  <c r="L15" i="55"/>
  <c r="K15" i="55"/>
  <c r="J15" i="55"/>
  <c r="I15" i="55"/>
  <c r="H15" i="55"/>
  <c r="N15" i="55" s="1"/>
  <c r="G15" i="55"/>
  <c r="M15" i="55" s="1"/>
  <c r="L10" i="55"/>
  <c r="K10" i="55"/>
  <c r="J10" i="55"/>
  <c r="I10" i="55"/>
  <c r="H10" i="55"/>
  <c r="N10" i="55" s="1"/>
  <c r="G10" i="55"/>
  <c r="M10" i="55" s="1"/>
  <c r="L9" i="55"/>
  <c r="L12" i="55" s="1"/>
  <c r="K9" i="55"/>
  <c r="K12" i="55" s="1"/>
  <c r="J9" i="55"/>
  <c r="J12" i="55" s="1"/>
  <c r="I9" i="55"/>
  <c r="I12" i="55" s="1"/>
  <c r="H9" i="55"/>
  <c r="G9" i="55"/>
  <c r="F27" i="54"/>
  <c r="E27" i="54"/>
  <c r="L26" i="54"/>
  <c r="K26" i="54"/>
  <c r="J26" i="54"/>
  <c r="I26" i="54"/>
  <c r="H26" i="54"/>
  <c r="N26" i="54" s="1"/>
  <c r="G26" i="54"/>
  <c r="M26" i="54" s="1"/>
  <c r="L27" i="54"/>
  <c r="K27" i="54"/>
  <c r="J27" i="54"/>
  <c r="I27" i="54"/>
  <c r="H27" i="54"/>
  <c r="G27" i="54"/>
  <c r="F23" i="54"/>
  <c r="E23" i="54"/>
  <c r="L22" i="54"/>
  <c r="K22" i="54"/>
  <c r="J22" i="54"/>
  <c r="I22" i="54"/>
  <c r="H22" i="54"/>
  <c r="N22" i="54" s="1"/>
  <c r="G22" i="54"/>
  <c r="M22" i="54" s="1"/>
  <c r="L21" i="54"/>
  <c r="K21" i="54"/>
  <c r="J21" i="54"/>
  <c r="I21" i="54"/>
  <c r="H21" i="54"/>
  <c r="N21" i="54" s="1"/>
  <c r="G21" i="54"/>
  <c r="M21" i="54" s="1"/>
  <c r="L19" i="54"/>
  <c r="K19" i="54"/>
  <c r="J19" i="54"/>
  <c r="I19" i="54"/>
  <c r="H19" i="54"/>
  <c r="N19" i="54" s="1"/>
  <c r="G19" i="54"/>
  <c r="M19" i="54" s="1"/>
  <c r="L18" i="54"/>
  <c r="K18" i="54"/>
  <c r="J18" i="54"/>
  <c r="I18" i="54"/>
  <c r="H18" i="54"/>
  <c r="N18" i="54" s="1"/>
  <c r="G18" i="54"/>
  <c r="M18" i="54" s="1"/>
  <c r="L23" i="54"/>
  <c r="K23" i="54"/>
  <c r="J23" i="54"/>
  <c r="I23" i="54"/>
  <c r="H23" i="54"/>
  <c r="G23" i="54"/>
  <c r="F12" i="54"/>
  <c r="E12" i="54"/>
  <c r="L11" i="54"/>
  <c r="K11" i="54"/>
  <c r="J11" i="54"/>
  <c r="I11" i="54"/>
  <c r="H11" i="54"/>
  <c r="N11" i="54" s="1"/>
  <c r="G11" i="54"/>
  <c r="M11" i="54" s="1"/>
  <c r="L10" i="54"/>
  <c r="K10" i="54"/>
  <c r="J10" i="54"/>
  <c r="I10" i="54"/>
  <c r="H10" i="54"/>
  <c r="N10" i="54" s="1"/>
  <c r="G10" i="54"/>
  <c r="M10" i="54" s="1"/>
  <c r="L9" i="54"/>
  <c r="K9" i="54"/>
  <c r="J9" i="54"/>
  <c r="I9" i="54"/>
  <c r="H9" i="54"/>
  <c r="N9" i="54" s="1"/>
  <c r="G9" i="54"/>
  <c r="M9" i="54" s="1"/>
  <c r="L8" i="54"/>
  <c r="L12" i="54" s="1"/>
  <c r="K8" i="54"/>
  <c r="K12" i="54" s="1"/>
  <c r="J8" i="54"/>
  <c r="J12" i="54" s="1"/>
  <c r="I8" i="54"/>
  <c r="H8" i="54"/>
  <c r="H12" i="54" s="1"/>
  <c r="N12" i="54" s="1"/>
  <c r="G8" i="54"/>
  <c r="G12" i="54" s="1"/>
  <c r="F29" i="52"/>
  <c r="E29" i="52"/>
  <c r="L28" i="52"/>
  <c r="K28" i="52"/>
  <c r="J28" i="52"/>
  <c r="I28" i="52"/>
  <c r="H28" i="52"/>
  <c r="N28" i="52" s="1"/>
  <c r="G28" i="52"/>
  <c r="M28" i="52" s="1"/>
  <c r="L27" i="52"/>
  <c r="L29" i="52" s="1"/>
  <c r="K27" i="52"/>
  <c r="K29" i="52" s="1"/>
  <c r="J27" i="52"/>
  <c r="J29" i="52" s="1"/>
  <c r="I27" i="52"/>
  <c r="H27" i="52"/>
  <c r="H29" i="52" s="1"/>
  <c r="G27" i="52"/>
  <c r="G29" i="52" s="1"/>
  <c r="F25" i="52"/>
  <c r="E25" i="52"/>
  <c r="L24" i="52"/>
  <c r="K24" i="52"/>
  <c r="J24" i="52"/>
  <c r="I24" i="52"/>
  <c r="H24" i="52"/>
  <c r="N24" i="52" s="1"/>
  <c r="G24" i="52"/>
  <c r="M24" i="52" s="1"/>
  <c r="L23" i="52"/>
  <c r="K23" i="52"/>
  <c r="J23" i="52"/>
  <c r="I23" i="52"/>
  <c r="H23" i="52"/>
  <c r="N23" i="52" s="1"/>
  <c r="G23" i="52"/>
  <c r="M23" i="52" s="1"/>
  <c r="L22" i="52"/>
  <c r="L25" i="52" s="1"/>
  <c r="K22" i="52"/>
  <c r="K25" i="52" s="1"/>
  <c r="J22" i="52"/>
  <c r="J25" i="52" s="1"/>
  <c r="I22" i="52"/>
  <c r="H22" i="52"/>
  <c r="N22" i="52" s="1"/>
  <c r="G22" i="52"/>
  <c r="M22" i="52" s="1"/>
  <c r="I25" i="52"/>
  <c r="F15" i="52"/>
  <c r="E15" i="52"/>
  <c r="L14" i="52"/>
  <c r="L15" i="52" s="1"/>
  <c r="K14" i="52"/>
  <c r="K15" i="52" s="1"/>
  <c r="J14" i="52"/>
  <c r="J15" i="52" s="1"/>
  <c r="I14" i="52"/>
  <c r="I15" i="52" s="1"/>
  <c r="H14" i="52"/>
  <c r="H15" i="52" s="1"/>
  <c r="N15" i="52" s="1"/>
  <c r="G14" i="52"/>
  <c r="M14" i="52" s="1"/>
  <c r="F12" i="52"/>
  <c r="E12" i="52"/>
  <c r="L10" i="52"/>
  <c r="K10" i="52"/>
  <c r="J10" i="52"/>
  <c r="I10" i="52"/>
  <c r="H10" i="52"/>
  <c r="N10" i="52" s="1"/>
  <c r="G10" i="52"/>
  <c r="M10" i="52" s="1"/>
  <c r="L9" i="52"/>
  <c r="K9" i="52"/>
  <c r="J9" i="52"/>
  <c r="I9" i="52"/>
  <c r="H9" i="52"/>
  <c r="N9" i="52" s="1"/>
  <c r="G9" i="52"/>
  <c r="M9" i="52" s="1"/>
  <c r="L8" i="52"/>
  <c r="L12" i="52" s="1"/>
  <c r="K8" i="52"/>
  <c r="K12" i="52" s="1"/>
  <c r="J8" i="52"/>
  <c r="J12" i="52" s="1"/>
  <c r="I8" i="52"/>
  <c r="H8" i="52"/>
  <c r="H12" i="52" s="1"/>
  <c r="N12" i="52" s="1"/>
  <c r="G8" i="52"/>
  <c r="G12" i="52" s="1"/>
  <c r="G25" i="52" l="1"/>
  <c r="L30" i="52"/>
  <c r="H25" i="52"/>
  <c r="H30" i="52" s="1"/>
  <c r="N9" i="55"/>
  <c r="H12" i="55"/>
  <c r="N12" i="55" s="1"/>
  <c r="M9" i="55"/>
  <c r="G12" i="55"/>
  <c r="M12" i="55" s="1"/>
  <c r="J25" i="55"/>
  <c r="J31" i="55" s="1"/>
  <c r="H25" i="55"/>
  <c r="H31" i="55" s="1"/>
  <c r="L11" i="57"/>
  <c r="L29" i="57" s="1"/>
  <c r="H11" i="57"/>
  <c r="N11" i="57" s="1"/>
  <c r="G29" i="57"/>
  <c r="I29" i="57"/>
  <c r="K29" i="57"/>
  <c r="N23" i="57"/>
  <c r="J29" i="57"/>
  <c r="N25" i="57"/>
  <c r="N28" i="57" s="1"/>
  <c r="N29" i="57" s="1"/>
  <c r="M7" i="57"/>
  <c r="M23" i="57"/>
  <c r="M25" i="57"/>
  <c r="M28" i="57" s="1"/>
  <c r="I23" i="56"/>
  <c r="I29" i="56" s="1"/>
  <c r="G28" i="56"/>
  <c r="G29" i="56" s="1"/>
  <c r="K28" i="56"/>
  <c r="G25" i="55"/>
  <c r="K25" i="55"/>
  <c r="K31" i="55" s="1"/>
  <c r="K29" i="56"/>
  <c r="M8" i="56"/>
  <c r="M14" i="56"/>
  <c r="H29" i="56"/>
  <c r="J29" i="56"/>
  <c r="L29" i="56"/>
  <c r="M26" i="56"/>
  <c r="M28" i="56" s="1"/>
  <c r="M29" i="56" s="1"/>
  <c r="M17" i="56"/>
  <c r="M23" i="56" s="1"/>
  <c r="N8" i="56"/>
  <c r="N14" i="56"/>
  <c r="N17" i="56"/>
  <c r="N23" i="56" s="1"/>
  <c r="N25" i="56"/>
  <c r="N28" i="56" s="1"/>
  <c r="I31" i="55"/>
  <c r="M25" i="55"/>
  <c r="M27" i="55"/>
  <c r="M30" i="55" s="1"/>
  <c r="L31" i="55"/>
  <c r="N25" i="55"/>
  <c r="N27" i="55"/>
  <c r="N30" i="55" s="1"/>
  <c r="I12" i="54"/>
  <c r="M12" i="54" s="1"/>
  <c r="I12" i="52"/>
  <c r="M12" i="52" s="1"/>
  <c r="G15" i="52"/>
  <c r="G30" i="52" s="1"/>
  <c r="I29" i="52"/>
  <c r="I30" i="52" s="1"/>
  <c r="G28" i="54"/>
  <c r="K28" i="54"/>
  <c r="M23" i="54"/>
  <c r="M27" i="54"/>
  <c r="M8" i="54"/>
  <c r="H28" i="54"/>
  <c r="J28" i="54"/>
  <c r="L28" i="54"/>
  <c r="N8" i="54"/>
  <c r="N23" i="54"/>
  <c r="N27" i="54"/>
  <c r="M15" i="52"/>
  <c r="K30" i="52"/>
  <c r="M25" i="52"/>
  <c r="J30" i="52"/>
  <c r="M8" i="52"/>
  <c r="M27" i="52"/>
  <c r="M29" i="52" s="1"/>
  <c r="N8" i="52"/>
  <c r="N14" i="52"/>
  <c r="N25" i="52"/>
  <c r="N27" i="52"/>
  <c r="N29" i="52" s="1"/>
  <c r="F29" i="50"/>
  <c r="E29" i="50"/>
  <c r="L28" i="50"/>
  <c r="K28" i="50"/>
  <c r="J28" i="50"/>
  <c r="I28" i="50"/>
  <c r="H28" i="50"/>
  <c r="N28" i="50" s="1"/>
  <c r="G28" i="50"/>
  <c r="M28" i="50" s="1"/>
  <c r="L27" i="50"/>
  <c r="K27" i="50"/>
  <c r="J27" i="50"/>
  <c r="I27" i="50"/>
  <c r="H27" i="50"/>
  <c r="N27" i="50" s="1"/>
  <c r="G27" i="50"/>
  <c r="M27" i="50" s="1"/>
  <c r="L26" i="50"/>
  <c r="L29" i="50" s="1"/>
  <c r="K26" i="50"/>
  <c r="K29" i="50" s="1"/>
  <c r="J26" i="50"/>
  <c r="J29" i="50" s="1"/>
  <c r="I26" i="50"/>
  <c r="I29" i="50" s="1"/>
  <c r="H26" i="50"/>
  <c r="H29" i="50" s="1"/>
  <c r="G26" i="50"/>
  <c r="G29" i="50" s="1"/>
  <c r="F24" i="50"/>
  <c r="E24" i="50"/>
  <c r="L23" i="50"/>
  <c r="K23" i="50"/>
  <c r="J23" i="50"/>
  <c r="I23" i="50"/>
  <c r="H23" i="50"/>
  <c r="N23" i="50" s="1"/>
  <c r="G23" i="50"/>
  <c r="M23" i="50" s="1"/>
  <c r="L22" i="50"/>
  <c r="K22" i="50"/>
  <c r="J22" i="50"/>
  <c r="I22" i="50"/>
  <c r="H22" i="50"/>
  <c r="N22" i="50" s="1"/>
  <c r="G22" i="50"/>
  <c r="M22" i="50" s="1"/>
  <c r="L21" i="50"/>
  <c r="K21" i="50"/>
  <c r="J21" i="50"/>
  <c r="I21" i="50"/>
  <c r="H21" i="50"/>
  <c r="N21" i="50" s="1"/>
  <c r="G21" i="50"/>
  <c r="M21" i="50" s="1"/>
  <c r="L19" i="50"/>
  <c r="K19" i="50"/>
  <c r="J19" i="50"/>
  <c r="I19" i="50"/>
  <c r="H19" i="50"/>
  <c r="N19" i="50" s="1"/>
  <c r="G19" i="50"/>
  <c r="M19" i="50" s="1"/>
  <c r="L18" i="50"/>
  <c r="K18" i="50"/>
  <c r="J18" i="50"/>
  <c r="I18" i="50"/>
  <c r="N18" i="50"/>
  <c r="M18" i="50"/>
  <c r="L24" i="50"/>
  <c r="K24" i="50"/>
  <c r="J24" i="50"/>
  <c r="I24" i="50"/>
  <c r="H24" i="50"/>
  <c r="G24" i="50"/>
  <c r="F15" i="50"/>
  <c r="E15" i="50"/>
  <c r="L14" i="50"/>
  <c r="L15" i="50" s="1"/>
  <c r="K14" i="50"/>
  <c r="K15" i="50" s="1"/>
  <c r="J14" i="50"/>
  <c r="J15" i="50" s="1"/>
  <c r="I14" i="50"/>
  <c r="I15" i="50" s="1"/>
  <c r="H14" i="50"/>
  <c r="H15" i="50" s="1"/>
  <c r="N15" i="50" s="1"/>
  <c r="G14" i="50"/>
  <c r="M14" i="50" s="1"/>
  <c r="F12" i="50"/>
  <c r="E12" i="50"/>
  <c r="L11" i="50"/>
  <c r="K11" i="50"/>
  <c r="J11" i="50"/>
  <c r="I11" i="50"/>
  <c r="H11" i="50"/>
  <c r="N11" i="50" s="1"/>
  <c r="G11" i="50"/>
  <c r="L10" i="50"/>
  <c r="K10" i="50"/>
  <c r="J10" i="50"/>
  <c r="I10" i="50"/>
  <c r="H10" i="50"/>
  <c r="G10" i="50"/>
  <c r="M10" i="50" s="1"/>
  <c r="L9" i="50"/>
  <c r="K9" i="50"/>
  <c r="K12" i="50" s="1"/>
  <c r="J9" i="50"/>
  <c r="I9" i="50"/>
  <c r="H9" i="50"/>
  <c r="N9" i="50" s="1"/>
  <c r="G9" i="50"/>
  <c r="M9" i="50" s="1"/>
  <c r="J12" i="50"/>
  <c r="I28" i="54" l="1"/>
  <c r="H29" i="57"/>
  <c r="G31" i="55"/>
  <c r="L12" i="50"/>
  <c r="N10" i="50"/>
  <c r="H12" i="50"/>
  <c r="N12" i="50" s="1"/>
  <c r="M29" i="57"/>
  <c r="N29" i="56"/>
  <c r="N31" i="55"/>
  <c r="M31" i="55"/>
  <c r="N30" i="52"/>
  <c r="M30" i="52"/>
  <c r="N28" i="54"/>
  <c r="M28" i="54"/>
  <c r="M11" i="50"/>
  <c r="G15" i="50"/>
  <c r="M15" i="50" s="1"/>
  <c r="G12" i="50"/>
  <c r="I12" i="50"/>
  <c r="I30" i="50" s="1"/>
  <c r="M24" i="50"/>
  <c r="K30" i="50"/>
  <c r="J30" i="50"/>
  <c r="L30" i="50"/>
  <c r="M26" i="50"/>
  <c r="M29" i="50" s="1"/>
  <c r="N14" i="50"/>
  <c r="N24" i="50"/>
  <c r="N26" i="50"/>
  <c r="N29" i="50" s="1"/>
  <c r="L20" i="46"/>
  <c r="K20" i="46"/>
  <c r="J20" i="46"/>
  <c r="I20" i="46"/>
  <c r="H20" i="46"/>
  <c r="N20" i="46" s="1"/>
  <c r="G20" i="46"/>
  <c r="M20" i="46" s="1"/>
  <c r="L19" i="46"/>
  <c r="K19" i="46"/>
  <c r="J19" i="46"/>
  <c r="I19" i="46"/>
  <c r="H19" i="46"/>
  <c r="N19" i="46" s="1"/>
  <c r="G19" i="46"/>
  <c r="M19" i="46" s="1"/>
  <c r="L27" i="46"/>
  <c r="K27" i="46"/>
  <c r="J27" i="46"/>
  <c r="I27" i="46"/>
  <c r="H27" i="46"/>
  <c r="N27" i="46" s="1"/>
  <c r="G27" i="46"/>
  <c r="M27" i="46" s="1"/>
  <c r="L14" i="46"/>
  <c r="K14" i="46"/>
  <c r="J14" i="46"/>
  <c r="I14" i="46"/>
  <c r="H14" i="46"/>
  <c r="N14" i="46" s="1"/>
  <c r="G14" i="46"/>
  <c r="M14" i="46" s="1"/>
  <c r="H30" i="50" l="1"/>
  <c r="G30" i="50"/>
  <c r="N30" i="50"/>
  <c r="M12" i="50"/>
  <c r="M30" i="50" s="1"/>
  <c r="L21" i="49" l="1"/>
  <c r="K21" i="49"/>
  <c r="J21" i="49"/>
  <c r="I21" i="49"/>
  <c r="H21" i="49"/>
  <c r="N21" i="49" s="1"/>
  <c r="G21" i="49"/>
  <c r="M21" i="49" s="1"/>
  <c r="F16" i="49"/>
  <c r="E16" i="49"/>
  <c r="L15" i="49"/>
  <c r="K15" i="49"/>
  <c r="J15" i="49"/>
  <c r="I15" i="49"/>
  <c r="H15" i="49"/>
  <c r="N15" i="49" s="1"/>
  <c r="G15" i="49"/>
  <c r="M15" i="49" s="1"/>
  <c r="L14" i="49"/>
  <c r="L16" i="49" s="1"/>
  <c r="K14" i="49"/>
  <c r="K16" i="49" s="1"/>
  <c r="J14" i="49"/>
  <c r="J16" i="49" s="1"/>
  <c r="I14" i="49"/>
  <c r="I16" i="49" s="1"/>
  <c r="H14" i="49"/>
  <c r="H16" i="49" s="1"/>
  <c r="G14" i="49"/>
  <c r="G16" i="49" s="1"/>
  <c r="L9" i="46"/>
  <c r="K9" i="46"/>
  <c r="J9" i="46"/>
  <c r="I9" i="46"/>
  <c r="H9" i="46"/>
  <c r="N9" i="46" s="1"/>
  <c r="G9" i="46"/>
  <c r="M9" i="46" s="1"/>
  <c r="L9" i="49"/>
  <c r="K9" i="49"/>
  <c r="J9" i="49"/>
  <c r="I9" i="49"/>
  <c r="H9" i="49"/>
  <c r="N9" i="49" s="1"/>
  <c r="G9" i="49"/>
  <c r="M9" i="49" s="1"/>
  <c r="L27" i="48"/>
  <c r="K27" i="48"/>
  <c r="J27" i="48"/>
  <c r="I27" i="48"/>
  <c r="H27" i="48"/>
  <c r="N27" i="48" s="1"/>
  <c r="G27" i="48"/>
  <c r="M27" i="48" s="1"/>
  <c r="L14" i="48"/>
  <c r="K14" i="48"/>
  <c r="J14" i="48"/>
  <c r="I14" i="48"/>
  <c r="H14" i="48"/>
  <c r="N14" i="48" s="1"/>
  <c r="G14" i="48"/>
  <c r="M14" i="48" s="1"/>
  <c r="L9" i="48"/>
  <c r="K9" i="48"/>
  <c r="J9" i="48"/>
  <c r="I9" i="48"/>
  <c r="H9" i="48"/>
  <c r="N9" i="48" s="1"/>
  <c r="G9" i="48"/>
  <c r="M9" i="48" s="1"/>
  <c r="M14" i="49" l="1"/>
  <c r="M16" i="49" s="1"/>
  <c r="N14" i="49"/>
  <c r="N16" i="49" s="1"/>
  <c r="L30" i="43" l="1"/>
  <c r="K30" i="43"/>
  <c r="J30" i="43"/>
  <c r="I30" i="43"/>
  <c r="H30" i="43"/>
  <c r="N30" i="43" s="1"/>
  <c r="G30" i="43"/>
  <c r="M30" i="43" s="1"/>
  <c r="L29" i="43"/>
  <c r="K29" i="43"/>
  <c r="J29" i="43"/>
  <c r="I29" i="43"/>
  <c r="H29" i="43"/>
  <c r="N29" i="43" s="1"/>
  <c r="G29" i="43"/>
  <c r="M29" i="43" s="1"/>
  <c r="F24" i="43"/>
  <c r="E24" i="43"/>
  <c r="L23" i="43"/>
  <c r="K23" i="43"/>
  <c r="J23" i="43"/>
  <c r="I23" i="43"/>
  <c r="H23" i="43"/>
  <c r="N23" i="43" s="1"/>
  <c r="G23" i="43"/>
  <c r="M23" i="43" s="1"/>
  <c r="L17" i="43"/>
  <c r="K17" i="43"/>
  <c r="J17" i="43"/>
  <c r="I17" i="43"/>
  <c r="H17" i="43"/>
  <c r="N17" i="43" s="1"/>
  <c r="G17" i="43"/>
  <c r="M17" i="43" s="1"/>
  <c r="L22" i="46" l="1"/>
  <c r="K22" i="46"/>
  <c r="J22" i="46"/>
  <c r="I22" i="46"/>
  <c r="H22" i="46"/>
  <c r="N22" i="46" s="1"/>
  <c r="G22" i="46"/>
  <c r="M22" i="46" s="1"/>
  <c r="L24" i="46"/>
  <c r="K24" i="46"/>
  <c r="J24" i="46"/>
  <c r="I24" i="46"/>
  <c r="H24" i="46"/>
  <c r="N24" i="46" s="1"/>
  <c r="G24" i="46"/>
  <c r="M24" i="46" s="1"/>
  <c r="L23" i="46"/>
  <c r="K23" i="46"/>
  <c r="J23" i="46"/>
  <c r="I23" i="46"/>
  <c r="H23" i="46"/>
  <c r="N23" i="46" s="1"/>
  <c r="G23" i="46"/>
  <c r="M23" i="46" s="1"/>
  <c r="L21" i="46"/>
  <c r="K21" i="46"/>
  <c r="J21" i="46"/>
  <c r="I21" i="46"/>
  <c r="H21" i="46"/>
  <c r="N21" i="46" s="1"/>
  <c r="G21" i="46"/>
  <c r="M21" i="46" s="1"/>
  <c r="L16" i="46"/>
  <c r="K16" i="46"/>
  <c r="J16" i="46"/>
  <c r="I16" i="46"/>
  <c r="H16" i="46"/>
  <c r="N16" i="46" s="1"/>
  <c r="G16" i="46"/>
  <c r="M16" i="46" s="1"/>
  <c r="L10" i="46"/>
  <c r="K10" i="46"/>
  <c r="J10" i="46"/>
  <c r="I10" i="46"/>
  <c r="H10" i="46"/>
  <c r="N10" i="46" s="1"/>
  <c r="G10" i="46"/>
  <c r="M10" i="46" s="1"/>
  <c r="L28" i="49" l="1"/>
  <c r="K28" i="49"/>
  <c r="J28" i="49"/>
  <c r="I28" i="49"/>
  <c r="H28" i="49"/>
  <c r="N28" i="49" s="1"/>
  <c r="G28" i="49"/>
  <c r="M28" i="49" s="1"/>
  <c r="L27" i="49"/>
  <c r="K27" i="49"/>
  <c r="J27" i="49"/>
  <c r="I27" i="49"/>
  <c r="H27" i="49"/>
  <c r="N27" i="49" s="1"/>
  <c r="G27" i="49"/>
  <c r="M27" i="49" s="1"/>
  <c r="L22" i="49"/>
  <c r="K22" i="49"/>
  <c r="J22" i="49"/>
  <c r="I22" i="49"/>
  <c r="H22" i="49"/>
  <c r="N22" i="49" s="1"/>
  <c r="G22" i="49"/>
  <c r="M22" i="49" s="1"/>
  <c r="L24" i="49"/>
  <c r="K24" i="49"/>
  <c r="J24" i="49"/>
  <c r="I24" i="49"/>
  <c r="H24" i="49"/>
  <c r="N24" i="49" s="1"/>
  <c r="G24" i="49"/>
  <c r="M24" i="49" s="1"/>
  <c r="L23" i="49"/>
  <c r="K23" i="49"/>
  <c r="J23" i="49"/>
  <c r="I23" i="49"/>
  <c r="H23" i="49"/>
  <c r="N23" i="49" s="1"/>
  <c r="G23" i="49"/>
  <c r="M23" i="49" s="1"/>
  <c r="L10" i="49"/>
  <c r="K10" i="49"/>
  <c r="J10" i="49"/>
  <c r="I10" i="49"/>
  <c r="H10" i="49"/>
  <c r="N10" i="49" s="1"/>
  <c r="G10" i="49"/>
  <c r="M10" i="49" s="1"/>
  <c r="L11" i="49"/>
  <c r="K11" i="49"/>
  <c r="J11" i="49"/>
  <c r="I11" i="49"/>
  <c r="H11" i="49"/>
  <c r="N11" i="49" s="1"/>
  <c r="G11" i="49"/>
  <c r="M11" i="49" s="1"/>
  <c r="L26" i="48" l="1"/>
  <c r="K26" i="48"/>
  <c r="J26" i="48"/>
  <c r="I26" i="48"/>
  <c r="H26" i="48"/>
  <c r="N26" i="48" s="1"/>
  <c r="G26" i="48"/>
  <c r="M26" i="48" s="1"/>
  <c r="L22" i="48"/>
  <c r="K22" i="48"/>
  <c r="J22" i="48"/>
  <c r="I22" i="48"/>
  <c r="H22" i="48"/>
  <c r="N22" i="48" s="1"/>
  <c r="G22" i="48"/>
  <c r="M22" i="48" s="1"/>
  <c r="L21" i="48"/>
  <c r="K21" i="48"/>
  <c r="J21" i="48"/>
  <c r="I21" i="48"/>
  <c r="H21" i="48"/>
  <c r="N21" i="48" s="1"/>
  <c r="G21" i="48"/>
  <c r="M21" i="48" s="1"/>
  <c r="L25" i="48"/>
  <c r="K25" i="48"/>
  <c r="J25" i="48"/>
  <c r="I25" i="48"/>
  <c r="H25" i="48"/>
  <c r="N25" i="48" s="1"/>
  <c r="G25" i="48"/>
  <c r="M25" i="48" s="1"/>
  <c r="L19" i="48" l="1"/>
  <c r="K19" i="48"/>
  <c r="J19" i="48"/>
  <c r="I19" i="48"/>
  <c r="H19" i="48"/>
  <c r="N19" i="48" s="1"/>
  <c r="G19" i="48"/>
  <c r="M19" i="48" s="1"/>
  <c r="L22" i="43"/>
  <c r="L24" i="43" s="1"/>
  <c r="K22" i="43"/>
  <c r="K24" i="43" s="1"/>
  <c r="J22" i="43"/>
  <c r="J24" i="43" s="1"/>
  <c r="I22" i="43"/>
  <c r="I24" i="43" s="1"/>
  <c r="H22" i="43"/>
  <c r="G22" i="43"/>
  <c r="M22" i="43" l="1"/>
  <c r="M24" i="43" s="1"/>
  <c r="G24" i="43"/>
  <c r="N22" i="43"/>
  <c r="N24" i="43" s="1"/>
  <c r="H24" i="43"/>
  <c r="L19" i="43"/>
  <c r="K19" i="43"/>
  <c r="J19" i="43"/>
  <c r="I19" i="43"/>
  <c r="H19" i="43"/>
  <c r="N19" i="43" s="1"/>
  <c r="G19" i="43"/>
  <c r="M19" i="43" s="1"/>
  <c r="L31" i="43"/>
  <c r="K31" i="43"/>
  <c r="J31" i="43"/>
  <c r="I31" i="43"/>
  <c r="H31" i="43"/>
  <c r="N31" i="43" s="1"/>
  <c r="G31" i="43"/>
  <c r="M31" i="43" s="1"/>
  <c r="L32" i="43"/>
  <c r="K32" i="43"/>
  <c r="J32" i="43"/>
  <c r="I32" i="43"/>
  <c r="H32" i="43"/>
  <c r="N32" i="43" s="1"/>
  <c r="G32" i="43"/>
  <c r="M32" i="43" s="1"/>
  <c r="L28" i="43" l="1"/>
  <c r="K28" i="43"/>
  <c r="J28" i="43"/>
  <c r="I28" i="43"/>
  <c r="H28" i="43"/>
  <c r="N28" i="43" s="1"/>
  <c r="G28" i="43"/>
  <c r="M28" i="43" s="1"/>
  <c r="L18" i="43"/>
  <c r="K18" i="43"/>
  <c r="J18" i="43"/>
  <c r="I18" i="43"/>
  <c r="H18" i="43"/>
  <c r="N18" i="43" s="1"/>
  <c r="G18" i="43"/>
  <c r="M18" i="43" s="1"/>
  <c r="L11" i="46" l="1"/>
  <c r="K11" i="46"/>
  <c r="J11" i="46"/>
  <c r="I11" i="46"/>
  <c r="H11" i="46"/>
  <c r="G11" i="46"/>
  <c r="M11" i="46" s="1"/>
  <c r="L8" i="46"/>
  <c r="L12" i="46" s="1"/>
  <c r="K8" i="46"/>
  <c r="J8" i="46"/>
  <c r="I8" i="46"/>
  <c r="H8" i="46"/>
  <c r="H12" i="46" s="1"/>
  <c r="G8" i="46"/>
  <c r="M8" i="46" s="1"/>
  <c r="F33" i="46"/>
  <c r="E33" i="46"/>
  <c r="L33" i="46"/>
  <c r="K33" i="46"/>
  <c r="J33" i="46"/>
  <c r="I33" i="46"/>
  <c r="H33" i="46"/>
  <c r="G33" i="46"/>
  <c r="F25" i="46"/>
  <c r="E25" i="46"/>
  <c r="F17" i="46"/>
  <c r="E17" i="46"/>
  <c r="L17" i="46"/>
  <c r="K17" i="46"/>
  <c r="J17" i="46"/>
  <c r="I17" i="46"/>
  <c r="H17" i="46"/>
  <c r="N17" i="46" s="1"/>
  <c r="G17" i="46"/>
  <c r="M17" i="46" s="1"/>
  <c r="F12" i="46"/>
  <c r="E12" i="46"/>
  <c r="J12" i="46" l="1"/>
  <c r="J25" i="46"/>
  <c r="N12" i="46"/>
  <c r="K12" i="46"/>
  <c r="N8" i="46"/>
  <c r="N11" i="46"/>
  <c r="L25" i="46"/>
  <c r="L34" i="46" s="1"/>
  <c r="I12" i="46"/>
  <c r="H25" i="46"/>
  <c r="H34" i="46" s="1"/>
  <c r="I25" i="46"/>
  <c r="G12" i="46"/>
  <c r="G25" i="46"/>
  <c r="K25" i="46"/>
  <c r="M25" i="46"/>
  <c r="M33" i="46"/>
  <c r="N25" i="46"/>
  <c r="N33" i="46"/>
  <c r="K34" i="46" l="1"/>
  <c r="G34" i="46"/>
  <c r="J34" i="46"/>
  <c r="I34" i="46"/>
  <c r="M12" i="46"/>
  <c r="M34" i="46" s="1"/>
  <c r="N34" i="46"/>
  <c r="L29" i="49" l="1"/>
  <c r="K29" i="49"/>
  <c r="L8" i="49"/>
  <c r="L12" i="49" s="1"/>
  <c r="K8" i="49"/>
  <c r="J8" i="49"/>
  <c r="I8" i="49"/>
  <c r="H8" i="49"/>
  <c r="G8" i="49"/>
  <c r="F29" i="49"/>
  <c r="E29" i="49"/>
  <c r="J29" i="49"/>
  <c r="F25" i="49"/>
  <c r="E25" i="49"/>
  <c r="L25" i="49"/>
  <c r="F12" i="49"/>
  <c r="E12" i="49"/>
  <c r="M8" i="49" l="1"/>
  <c r="I29" i="49"/>
  <c r="M29" i="49"/>
  <c r="N8" i="49"/>
  <c r="N29" i="49"/>
  <c r="H29" i="49"/>
  <c r="J12" i="49"/>
  <c r="I25" i="49"/>
  <c r="H12" i="49"/>
  <c r="N12" i="49" s="1"/>
  <c r="H25" i="49"/>
  <c r="G29" i="49"/>
  <c r="J25" i="49"/>
  <c r="G25" i="49"/>
  <c r="K25" i="49"/>
  <c r="K12" i="49"/>
  <c r="G12" i="49"/>
  <c r="I12" i="49"/>
  <c r="L30" i="49"/>
  <c r="L11" i="48"/>
  <c r="K11" i="48"/>
  <c r="J11" i="48"/>
  <c r="I11" i="48"/>
  <c r="H11" i="48"/>
  <c r="G11" i="48"/>
  <c r="M11" i="48" s="1"/>
  <c r="L10" i="48"/>
  <c r="K10" i="48"/>
  <c r="J10" i="48"/>
  <c r="I10" i="48"/>
  <c r="H10" i="48"/>
  <c r="G10" i="48"/>
  <c r="M10" i="48" s="1"/>
  <c r="F28" i="48"/>
  <c r="E28" i="48"/>
  <c r="F23" i="48"/>
  <c r="E23" i="48"/>
  <c r="F15" i="48"/>
  <c r="E15" i="48"/>
  <c r="L15" i="48"/>
  <c r="K15" i="48"/>
  <c r="J15" i="48"/>
  <c r="I15" i="48"/>
  <c r="H15" i="48"/>
  <c r="N15" i="48" s="1"/>
  <c r="F12" i="48"/>
  <c r="E12" i="48"/>
  <c r="J30" i="49" l="1"/>
  <c r="N25" i="49"/>
  <c r="M25" i="49"/>
  <c r="M12" i="49"/>
  <c r="N10" i="48"/>
  <c r="N28" i="48"/>
  <c r="M28" i="48"/>
  <c r="G30" i="49"/>
  <c r="H30" i="49"/>
  <c r="K30" i="49"/>
  <c r="I30" i="49"/>
  <c r="N30" i="49"/>
  <c r="J23" i="48"/>
  <c r="J12" i="48"/>
  <c r="L12" i="48"/>
  <c r="K28" i="48"/>
  <c r="G23" i="48"/>
  <c r="K23" i="48"/>
  <c r="I23" i="48"/>
  <c r="J28" i="48"/>
  <c r="L28" i="48"/>
  <c r="H12" i="48"/>
  <c r="G12" i="48"/>
  <c r="K12" i="48"/>
  <c r="L23" i="48"/>
  <c r="H23" i="48"/>
  <c r="H28" i="48"/>
  <c r="G28" i="48"/>
  <c r="N11" i="48"/>
  <c r="I12" i="48"/>
  <c r="G15" i="48"/>
  <c r="M15" i="48" s="1"/>
  <c r="I28" i="48"/>
  <c r="N23" i="48"/>
  <c r="M23" i="48" l="1"/>
  <c r="M30" i="49"/>
  <c r="K29" i="48"/>
  <c r="L29" i="48"/>
  <c r="J29" i="48"/>
  <c r="G29" i="48"/>
  <c r="N12" i="48"/>
  <c r="N29" i="48" s="1"/>
  <c r="I29" i="48"/>
  <c r="M12" i="48"/>
  <c r="M29" i="48" s="1"/>
  <c r="H29" i="48"/>
  <c r="F33" i="43" l="1"/>
  <c r="E33" i="43"/>
  <c r="G37" i="43" l="1"/>
  <c r="F37" i="43" l="1"/>
  <c r="E37" i="43"/>
  <c r="L37" i="43"/>
  <c r="K37" i="43"/>
  <c r="J37" i="43"/>
  <c r="I37" i="43"/>
  <c r="N37" i="43"/>
  <c r="M37" i="43"/>
  <c r="E20" i="43"/>
  <c r="G20" i="43"/>
  <c r="H37" i="43" l="1"/>
  <c r="F20" i="43" l="1"/>
  <c r="L20" i="43"/>
  <c r="K20" i="43"/>
  <c r="J20" i="43"/>
  <c r="I20" i="43"/>
  <c r="H20" i="43"/>
  <c r="J33" i="43" l="1"/>
  <c r="L33" i="43"/>
  <c r="I33" i="43"/>
  <c r="I38" i="43" s="1"/>
  <c r="K33" i="43"/>
  <c r="K38" i="43" s="1"/>
  <c r="J38" i="43"/>
  <c r="L38" i="43"/>
  <c r="N33" i="43"/>
  <c r="H33" i="43"/>
  <c r="H38" i="43" s="1"/>
  <c r="M33" i="43"/>
  <c r="G33" i="43"/>
  <c r="G38" i="43" s="1"/>
  <c r="M20" i="43"/>
  <c r="N20" i="43"/>
  <c r="N38" i="43" l="1"/>
  <c r="M38" i="43"/>
</calcChain>
</file>

<file path=xl/sharedStrings.xml><?xml version="1.0" encoding="utf-8"?>
<sst xmlns="http://schemas.openxmlformats.org/spreadsheetml/2006/main" count="787" uniqueCount="280">
  <si>
    <t>№ рец.</t>
  </si>
  <si>
    <t>Наименование блюда</t>
  </si>
  <si>
    <t>Жиры,гр.</t>
  </si>
  <si>
    <t>Белки,гр.</t>
  </si>
  <si>
    <t>Углеводы,гр.</t>
  </si>
  <si>
    <t>Энергетическая ценность (ккал)</t>
  </si>
  <si>
    <t>Выход,гр.</t>
  </si>
  <si>
    <t>Пищевые вещества.</t>
  </si>
  <si>
    <t>ЗАВТРАК</t>
  </si>
  <si>
    <t>ОБЕД</t>
  </si>
  <si>
    <t>Макаронные изделия отварные</t>
  </si>
  <si>
    <t>Чай с лимоном</t>
  </si>
  <si>
    <t>ИТОГО ЗА ДЕНЬ:</t>
  </si>
  <si>
    <t>ИТОГО  ЗАВТРАК:</t>
  </si>
  <si>
    <t>ИТОГО  ОБЕД:</t>
  </si>
  <si>
    <t xml:space="preserve"> Чай с сахаром</t>
  </si>
  <si>
    <t>Каша рисовая молочная жидкая</t>
  </si>
  <si>
    <t>Неделя: первая, третья</t>
  </si>
  <si>
    <t>92/2008г</t>
  </si>
  <si>
    <t>Картофельное пюре</t>
  </si>
  <si>
    <t>39/2008г</t>
  </si>
  <si>
    <t>Хлеб ржаной</t>
  </si>
  <si>
    <t xml:space="preserve"> </t>
  </si>
  <si>
    <t>2004г</t>
  </si>
  <si>
    <t xml:space="preserve">Сборник рецептур блюд и кулинарных изделий для предприятий общественного питания      </t>
  </si>
  <si>
    <t>2008г</t>
  </si>
  <si>
    <t xml:space="preserve">Сборник  технических нормативов, рецептур блюд и кулинарных изделий для           </t>
  </si>
  <si>
    <t xml:space="preserve">предприятий общественного питания при образовательных учреждениях УР.  Ижевск 2008 г.   </t>
  </si>
  <si>
    <t>2013г</t>
  </si>
  <si>
    <t xml:space="preserve">организации питания детей в дошкольных организациях УР.  Ижевск 2013 г.   </t>
  </si>
  <si>
    <t>97/2008г</t>
  </si>
  <si>
    <t>2021г</t>
  </si>
  <si>
    <t>Единый сборник технологических нормативов, рецептур блюд и кулинарных изделий для детских садов,</t>
  </si>
  <si>
    <t>общеобразовательных школах. Уральский региональный центр питания. Пермь 2021 г. (Под общей редакцией А.Я. Превалова)</t>
  </si>
  <si>
    <t xml:space="preserve">при общеобразовательных школах . Москва 2004г (Под общей редакцией В.Т Лапшиной)   </t>
  </si>
  <si>
    <t>ПП</t>
  </si>
  <si>
    <t>ПОНЕДЕЛЬНИК</t>
  </si>
  <si>
    <t>ВТОРНИК</t>
  </si>
  <si>
    <t>День недели</t>
  </si>
  <si>
    <t>СРЕДА</t>
  </si>
  <si>
    <t xml:space="preserve">УТВЕРЖДАЮ </t>
  </si>
  <si>
    <t>СОГЛАСОВАНО</t>
  </si>
  <si>
    <t>Генеральный директор ООО "Школьное питание"</t>
  </si>
  <si>
    <t>Колеватов Е.С____________</t>
  </si>
  <si>
    <t>Основное двухнедельное цикличное меню</t>
  </si>
  <si>
    <t>496/2021г</t>
  </si>
  <si>
    <t>459/2021г</t>
  </si>
  <si>
    <t>457/2021г</t>
  </si>
  <si>
    <t>486/2021г</t>
  </si>
  <si>
    <t>Компот из свежих плодов и ягод</t>
  </si>
  <si>
    <t>ЧЕТВЕРГ</t>
  </si>
  <si>
    <t>ПЯТНИЦА</t>
  </si>
  <si>
    <t>495/2021г</t>
  </si>
  <si>
    <t>Компот из смеси сухофруктов</t>
  </si>
  <si>
    <t>Неделя: вторая, четвертая</t>
  </si>
  <si>
    <t>Каша гречневая вязкая</t>
  </si>
  <si>
    <t>213/2021г</t>
  </si>
  <si>
    <t>236/2021г</t>
  </si>
  <si>
    <t>47/2008г</t>
  </si>
  <si>
    <t>229/2021г</t>
  </si>
  <si>
    <t>Суп картофельный с бобовыми</t>
  </si>
  <si>
    <t xml:space="preserve">Каша "Дружба" </t>
  </si>
  <si>
    <t>235/2021г</t>
  </si>
  <si>
    <t>Каша пшённая молочная жидкая</t>
  </si>
  <si>
    <t>СПИСОК ЛИТЕРАТУРЫ</t>
  </si>
  <si>
    <t>каша гречневая</t>
  </si>
  <si>
    <t>чай с лимоном</t>
  </si>
  <si>
    <t>компот из яблок</t>
  </si>
  <si>
    <t>чай с сахаром</t>
  </si>
  <si>
    <t>каша рисовая</t>
  </si>
  <si>
    <t>картофельное пюре</t>
  </si>
  <si>
    <t>плов</t>
  </si>
  <si>
    <t>напиток из шиповника</t>
  </si>
  <si>
    <t xml:space="preserve">Борщ с капустой и картофелем </t>
  </si>
  <si>
    <t>60/2008г</t>
  </si>
  <si>
    <t>Уха со взбитым яйцом</t>
  </si>
  <si>
    <t>сыр</t>
  </si>
  <si>
    <t>гороховое пюре</t>
  </si>
  <si>
    <t>йогурт</t>
  </si>
  <si>
    <t>какао с молоком</t>
  </si>
  <si>
    <t>каша пшенная</t>
  </si>
  <si>
    <t>рассольник ленинградский</t>
  </si>
  <si>
    <t>омлет</t>
  </si>
  <si>
    <t>2-ЗАВТРАК</t>
  </si>
  <si>
    <t>ИТОГО  2-ЗАВТРАК:</t>
  </si>
  <si>
    <t>ИТОГО ПОЛДНИК:</t>
  </si>
  <si>
    <t>1-3 г.</t>
  </si>
  <si>
    <t>3-7 г.</t>
  </si>
  <si>
    <t>ПОЛДНИК</t>
  </si>
  <si>
    <t>Каша овсянная "Геркулес" жидкая</t>
  </si>
  <si>
    <t>Повидло яблочное</t>
  </si>
  <si>
    <t>464/2021г</t>
  </si>
  <si>
    <t>Кофейный напиток</t>
  </si>
  <si>
    <t>462/2021г</t>
  </si>
  <si>
    <t>Какао с молоком</t>
  </si>
  <si>
    <t>Напиток из плодов шиповника</t>
  </si>
  <si>
    <t>98/2008г</t>
  </si>
  <si>
    <t>Макароны с сыром</t>
  </si>
  <si>
    <t>100/2021г</t>
  </si>
  <si>
    <t>Рассольник ленинградский</t>
  </si>
  <si>
    <t>284/2021г</t>
  </si>
  <si>
    <t>Суфле из творога</t>
  </si>
  <si>
    <t>суфле из творога</t>
  </si>
  <si>
    <t>452/2004г</t>
  </si>
  <si>
    <t>Биточки особые</t>
  </si>
  <si>
    <t>206/2013г</t>
  </si>
  <si>
    <t>Суфле из птицы</t>
  </si>
  <si>
    <t>232/2021г</t>
  </si>
  <si>
    <t>41/2008г</t>
  </si>
  <si>
    <t xml:space="preserve">Щи из свежей капусты с картофелем </t>
  </si>
  <si>
    <t>160/2004г</t>
  </si>
  <si>
    <t>333/2021г</t>
  </si>
  <si>
    <t>Голубцы ленивые</t>
  </si>
  <si>
    <t>Омлет натуральный</t>
  </si>
  <si>
    <t>для организации питания воспитанников от 1 до 3 лет, от 3 до 7 лет</t>
  </si>
  <si>
    <t>1 нед.</t>
  </si>
  <si>
    <t>БЛЮДО</t>
  </si>
  <si>
    <t>понедельник</t>
  </si>
  <si>
    <t>вторник</t>
  </si>
  <si>
    <t>среда</t>
  </si>
  <si>
    <t>четверг</t>
  </si>
  <si>
    <t>пятница</t>
  </si>
  <si>
    <t>завтрак</t>
  </si>
  <si>
    <t>каша</t>
  </si>
  <si>
    <t>каша "Дружба"</t>
  </si>
  <si>
    <t>закуска</t>
  </si>
  <si>
    <t>напиток</t>
  </si>
  <si>
    <t>кофейный напиток</t>
  </si>
  <si>
    <t>2 зав</t>
  </si>
  <si>
    <t>обед</t>
  </si>
  <si>
    <t>суп</t>
  </si>
  <si>
    <t>гарнир</t>
  </si>
  <si>
    <t>рыба</t>
  </si>
  <si>
    <t>мясо</t>
  </si>
  <si>
    <t>птица</t>
  </si>
  <si>
    <t>полдник</t>
  </si>
  <si>
    <t>блюдо</t>
  </si>
  <si>
    <t>2 нед.</t>
  </si>
  <si>
    <t>суфле из птицы</t>
  </si>
  <si>
    <t>сдоба обыкновенная</t>
  </si>
  <si>
    <t>каша овсяная Геркулес</t>
  </si>
  <si>
    <t>макароны с сыром</t>
  </si>
  <si>
    <t>биточки особые</t>
  </si>
  <si>
    <t>суп молочный с мак.изделиями</t>
  </si>
  <si>
    <t>106/2008г</t>
  </si>
  <si>
    <t xml:space="preserve">Запеканка из творога </t>
  </si>
  <si>
    <t>каша манная</t>
  </si>
  <si>
    <t>яйцо</t>
  </si>
  <si>
    <t>масло слив.</t>
  </si>
  <si>
    <t xml:space="preserve">щи </t>
  </si>
  <si>
    <t>борщ с капустой и картофелем</t>
  </si>
  <si>
    <t>макаронные изделия отварные</t>
  </si>
  <si>
    <t>капуста тушеная с мясом</t>
  </si>
  <si>
    <t>жаркое по-домашнему</t>
  </si>
  <si>
    <t>компот из изюма</t>
  </si>
  <si>
    <t>компот из с/ф</t>
  </si>
  <si>
    <t>масло  слив.</t>
  </si>
  <si>
    <t>пуштыешыд</t>
  </si>
  <si>
    <t>борщ с картофелем</t>
  </si>
  <si>
    <t>ленивые голубцы</t>
  </si>
  <si>
    <t>какао</t>
  </si>
  <si>
    <t>267/2021г</t>
  </si>
  <si>
    <t>Яйцо вареное</t>
  </si>
  <si>
    <t>573/2021г</t>
  </si>
  <si>
    <t>Хлеб пшеничный формовой</t>
  </si>
  <si>
    <t>574/2021г</t>
  </si>
  <si>
    <t>75/2021г</t>
  </si>
  <si>
    <t>Сыр полутвердый (порциями)</t>
  </si>
  <si>
    <t>470/2021г</t>
  </si>
  <si>
    <t>Сгущенное молоко</t>
  </si>
  <si>
    <t>230/2021г</t>
  </si>
  <si>
    <t>Каша манная молочная жидкая</t>
  </si>
  <si>
    <t>501/2021г</t>
  </si>
  <si>
    <t>Соки овощные, фруктовые и ягодные</t>
  </si>
  <si>
    <t>46/2008г</t>
  </si>
  <si>
    <t xml:space="preserve">Суп картофельный с мак. изделиями </t>
  </si>
  <si>
    <t>196/2013г</t>
  </si>
  <si>
    <t>Капуста тушеная с мясом</t>
  </si>
  <si>
    <t>96/2004г</t>
  </si>
  <si>
    <t>Масло  (порциями)</t>
  </si>
  <si>
    <t>462/2004г</t>
  </si>
  <si>
    <t>Тефтели 2-й вариант</t>
  </si>
  <si>
    <t>176/2013г</t>
  </si>
  <si>
    <t>Жаркое по-домашнему</t>
  </si>
  <si>
    <t>63/2013г</t>
  </si>
  <si>
    <t>Пуштыешыд</t>
  </si>
  <si>
    <t>545/2021г</t>
  </si>
  <si>
    <t>Сдоба обыкновенная</t>
  </si>
  <si>
    <t>234/2021г</t>
  </si>
  <si>
    <t>94/2021г</t>
  </si>
  <si>
    <t>Борщ с картофелем</t>
  </si>
  <si>
    <t>389/2021г</t>
  </si>
  <si>
    <t>Пюре из гороха с маслом</t>
  </si>
  <si>
    <t>268/2021г</t>
  </si>
  <si>
    <t>443/2004г</t>
  </si>
  <si>
    <t>повидло</t>
  </si>
  <si>
    <t xml:space="preserve">какао </t>
  </si>
  <si>
    <t>сок+ печенье</t>
  </si>
  <si>
    <t>фрукт</t>
  </si>
  <si>
    <t>суп с мак. изделиями</t>
  </si>
  <si>
    <t>суп гороховый</t>
  </si>
  <si>
    <t>тефтели 2-вариант</t>
  </si>
  <si>
    <t>сочни с творогом</t>
  </si>
  <si>
    <t>каша ячневая/пшеничная</t>
  </si>
  <si>
    <t>сок+печенье</t>
  </si>
  <si>
    <t>икра овощная</t>
  </si>
  <si>
    <t>суп с крупой</t>
  </si>
  <si>
    <t>птица запеченая</t>
  </si>
  <si>
    <t>Заведующая МБДОУ "Пычасский  детский сад №1"</t>
  </si>
  <si>
    <t>Малых Т.Г._____________</t>
  </si>
  <si>
    <t xml:space="preserve">в МБДОУ "Пычасский детский сад №1" </t>
  </si>
  <si>
    <t>576/2021г</t>
  </si>
  <si>
    <t>Батон нарезной</t>
  </si>
  <si>
    <t>Печенье сахарное для детского питания</t>
  </si>
  <si>
    <t>Кисломолочный напиток (йогурт)</t>
  </si>
  <si>
    <t>82/2021г</t>
  </si>
  <si>
    <t>Фрукты свежие</t>
  </si>
  <si>
    <t>177/2008г</t>
  </si>
  <si>
    <t>Сочни из песочного теста с творогом</t>
  </si>
  <si>
    <t>494/2004г</t>
  </si>
  <si>
    <t>Птица запеченная</t>
  </si>
  <si>
    <t>114/2021г</t>
  </si>
  <si>
    <t>Суп картофельный с крупой</t>
  </si>
  <si>
    <r>
      <t>Каша пшеничная молочная жидкая</t>
    </r>
    <r>
      <rPr>
        <sz val="10"/>
        <color theme="1"/>
        <rFont val="Calibri"/>
        <family val="2"/>
        <charset val="204"/>
      </rPr>
      <t>*</t>
    </r>
  </si>
  <si>
    <t>*замена кулинарного изделия</t>
  </si>
  <si>
    <t>227/2021г</t>
  </si>
  <si>
    <t>Каша ячневая молочная вязкая</t>
  </si>
  <si>
    <r>
      <t>Плов</t>
    </r>
    <r>
      <rPr>
        <sz val="10"/>
        <color theme="1"/>
        <rFont val="Calibri"/>
        <family val="2"/>
        <charset val="204"/>
      </rPr>
      <t>*</t>
    </r>
  </si>
  <si>
    <t>492/2004г</t>
  </si>
  <si>
    <t>Плов из птицы</t>
  </si>
  <si>
    <t>Икра овощная</t>
  </si>
  <si>
    <t>286/2021г</t>
  </si>
  <si>
    <t>Сырники из творога запеченые</t>
  </si>
  <si>
    <t>салат из свеклы отварной</t>
  </si>
  <si>
    <t>коржик молочный</t>
  </si>
  <si>
    <t>ряженка</t>
  </si>
  <si>
    <t>икра свекольная</t>
  </si>
  <si>
    <t>булочка ванильная</t>
  </si>
  <si>
    <t>запеканка творожная + 
сгущ молоко</t>
  </si>
  <si>
    <t>182/2008г</t>
  </si>
  <si>
    <t>Коржик молочный</t>
  </si>
  <si>
    <t>26/2021г</t>
  </si>
  <si>
    <t>Салат из свеклы отварной</t>
  </si>
  <si>
    <t>88/2008г</t>
  </si>
  <si>
    <t>Котлета рыбная "Нептун"</t>
  </si>
  <si>
    <t>котлета рыбная Нептун</t>
  </si>
  <si>
    <t>541/2021г</t>
  </si>
  <si>
    <t>Булочка ванильная</t>
  </si>
  <si>
    <t>Кисломолочный напиток (ряженка)</t>
  </si>
  <si>
    <t>30/2008г</t>
  </si>
  <si>
    <t>Винегрет овощной</t>
  </si>
  <si>
    <t>78/2004г</t>
  </si>
  <si>
    <t>Икра свекольная или морковная</t>
  </si>
  <si>
    <t>43/2021г</t>
  </si>
  <si>
    <t xml:space="preserve">Салат картофельный с солеными огурцами или капустой квашеной </t>
  </si>
  <si>
    <t>салат картофельный с сол.огурцами</t>
  </si>
  <si>
    <t>Суп молочный с мак. изделиями</t>
  </si>
  <si>
    <t>460/2021г</t>
  </si>
  <si>
    <t>Чай с молоком</t>
  </si>
  <si>
    <t>чай с молоком</t>
  </si>
  <si>
    <t>202/2021г</t>
  </si>
  <si>
    <t>Каша гречневая рассыпчатая</t>
  </si>
  <si>
    <t>141/2008г</t>
  </si>
  <si>
    <t>Соус томатный</t>
  </si>
  <si>
    <t>соус томатный</t>
  </si>
  <si>
    <t>суп с мак.изделиями</t>
  </si>
  <si>
    <t>596/2004г</t>
  </si>
  <si>
    <t>Соус молочный (сладкий)</t>
  </si>
  <si>
    <t>винегрет + яйцо</t>
  </si>
  <si>
    <t>кофейный наиток</t>
  </si>
  <si>
    <t>сырники творожные + повидло</t>
  </si>
  <si>
    <t>салат из капусты свежей</t>
  </si>
  <si>
    <t>13/2008г</t>
  </si>
  <si>
    <t>Салат из свежей капусты</t>
  </si>
  <si>
    <t>478/2004г</t>
  </si>
  <si>
    <t>Запеканка картофельная с мясом</t>
  </si>
  <si>
    <t>картофельная запеканка</t>
  </si>
  <si>
    <t>44/2013г</t>
  </si>
  <si>
    <t>Салат "Космос"</t>
  </si>
  <si>
    <t>салат Космос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</si>
</sst>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0" xfId="0" applyFont="1" applyFill="1" applyBorder="1" applyAlignment="1">
      <alignment horizontal="left"/>
    </xf>
    <xf numFmtId="2" fontId="2" fillId="2" borderId="10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3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2" fontId="2" fillId="3" borderId="37" xfId="0" applyNumberFormat="1" applyFont="1" applyFill="1" applyBorder="1" applyAlignment="1">
      <alignment horizontal="center"/>
    </xf>
    <xf numFmtId="2" fontId="2" fillId="3" borderId="38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Font="1" applyBorder="1"/>
    <xf numFmtId="0" fontId="10" fillId="0" borderId="0" xfId="0" applyFont="1" applyBorder="1"/>
    <xf numFmtId="0" fontId="0" fillId="0" borderId="0" xfId="0" applyFont="1"/>
    <xf numFmtId="0" fontId="11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5" borderId="51" xfId="0" applyFont="1" applyFill="1" applyBorder="1" applyAlignment="1">
      <alignment horizontal="left" vertical="center"/>
    </xf>
    <xf numFmtId="0" fontId="11" fillId="2" borderId="57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0" borderId="0" xfId="0" applyFont="1"/>
    <xf numFmtId="0" fontId="2" fillId="6" borderId="1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/>
    </xf>
    <xf numFmtId="1" fontId="1" fillId="3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2" fontId="1" fillId="3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 vertical="center"/>
    </xf>
    <xf numFmtId="2" fontId="1" fillId="3" borderId="3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49" fontId="7" fillId="2" borderId="15" xfId="1" applyNumberFormat="1" applyFont="1" applyFill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49" fontId="7" fillId="2" borderId="41" xfId="1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49" fontId="7" fillId="2" borderId="54" xfId="1" applyNumberFormat="1" applyFont="1" applyFill="1" applyBorder="1" applyAlignment="1" applyProtection="1">
      <alignment horizontal="center"/>
    </xf>
    <xf numFmtId="49" fontId="7" fillId="2" borderId="55" xfId="1" applyNumberFormat="1" applyFont="1" applyFill="1" applyBorder="1" applyAlignment="1" applyProtection="1">
      <alignment horizontal="center"/>
    </xf>
    <xf numFmtId="0" fontId="7" fillId="2" borderId="54" xfId="0" applyFont="1" applyFill="1" applyBorder="1" applyAlignment="1">
      <alignment horizontal="center" wrapText="1"/>
    </xf>
    <xf numFmtId="0" fontId="7" fillId="2" borderId="55" xfId="0" applyFont="1" applyFill="1" applyBorder="1" applyAlignment="1">
      <alignment horizontal="center" wrapText="1"/>
    </xf>
    <xf numFmtId="49" fontId="7" fillId="2" borderId="56" xfId="1" applyNumberFormat="1" applyFont="1" applyFill="1" applyBorder="1" applyAlignment="1" applyProtection="1">
      <alignment horizontal="center"/>
    </xf>
    <xf numFmtId="49" fontId="7" fillId="2" borderId="15" xfId="1" applyNumberFormat="1" applyFont="1" applyFill="1" applyBorder="1" applyAlignment="1" applyProtection="1">
      <alignment horizontal="center" vertical="center" wrapText="1"/>
    </xf>
    <xf numFmtId="49" fontId="7" fillId="2" borderId="17" xfId="1" applyNumberFormat="1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 applyProtection="1">
      <alignment horizontal="center"/>
    </xf>
    <xf numFmtId="49" fontId="7" fillId="2" borderId="58" xfId="1" applyNumberFormat="1" applyFont="1" applyFill="1" applyBorder="1" applyAlignment="1" applyProtection="1">
      <alignment horizontal="center"/>
    </xf>
    <xf numFmtId="0" fontId="7" fillId="2" borderId="58" xfId="0" applyFont="1" applyFill="1" applyBorder="1" applyAlignment="1">
      <alignment horizontal="center" wrapText="1"/>
    </xf>
    <xf numFmtId="49" fontId="7" fillId="2" borderId="2" xfId="1" applyNumberFormat="1" applyFont="1" applyFill="1" applyBorder="1" applyAlignment="1" applyProtection="1">
      <alignment horizontal="center"/>
    </xf>
    <xf numFmtId="49" fontId="7" fillId="2" borderId="18" xfId="1" applyNumberFormat="1" applyFont="1" applyFill="1" applyBorder="1" applyAlignment="1" applyProtection="1">
      <alignment horizontal="center"/>
    </xf>
    <xf numFmtId="49" fontId="7" fillId="2" borderId="6" xfId="1" applyNumberFormat="1" applyFont="1" applyFill="1" applyBorder="1" applyAlignment="1" applyProtection="1">
      <alignment horizontal="center"/>
    </xf>
    <xf numFmtId="49" fontId="7" fillId="2" borderId="52" xfId="1" applyNumberFormat="1" applyFont="1" applyFill="1" applyBorder="1" applyAlignment="1" applyProtection="1">
      <alignment horizontal="center"/>
    </xf>
    <xf numFmtId="49" fontId="7" fillId="2" borderId="59" xfId="1" applyNumberFormat="1" applyFont="1" applyFill="1" applyBorder="1" applyAlignment="1" applyProtection="1">
      <alignment horizontal="center"/>
    </xf>
    <xf numFmtId="0" fontId="12" fillId="2" borderId="49" xfId="0" applyFont="1" applyFill="1" applyBorder="1" applyAlignment="1">
      <alignment horizontal="center" vertical="center"/>
    </xf>
    <xf numFmtId="49" fontId="7" fillId="2" borderId="41" xfId="1" applyNumberFormat="1" applyFont="1" applyFill="1" applyBorder="1" applyAlignment="1" applyProtection="1">
      <alignment horizontal="center" vertical="center" wrapText="1"/>
    </xf>
    <xf numFmtId="49" fontId="7" fillId="2" borderId="16" xfId="1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49" fontId="7" fillId="2" borderId="0" xfId="1" applyNumberFormat="1" applyFont="1" applyFill="1" applyBorder="1" applyAlignment="1" applyProtection="1">
      <alignment horizontal="center"/>
    </xf>
    <xf numFmtId="49" fontId="11" fillId="4" borderId="51" xfId="1" applyNumberFormat="1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9" fontId="8" fillId="2" borderId="15" xfId="1" applyNumberFormat="1" applyFont="1" applyFill="1" applyBorder="1" applyAlignment="1" applyProtection="1">
      <alignment horizontal="center" vertical="center"/>
    </xf>
    <xf numFmtId="49" fontId="8" fillId="2" borderId="41" xfId="1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2" borderId="42" xfId="1" applyNumberFormat="1" applyFont="1" applyFill="1" applyBorder="1" applyAlignment="1" applyProtection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49" fontId="7" fillId="2" borderId="16" xfId="1" applyNumberFormat="1" applyFont="1" applyFill="1" applyBorder="1" applyAlignment="1" applyProtection="1">
      <alignment horizontal="center" vertical="center" wrapText="1"/>
    </xf>
    <xf numFmtId="49" fontId="7" fillId="2" borderId="33" xfId="1" applyNumberFormat="1" applyFont="1" applyFill="1" applyBorder="1" applyAlignment="1" applyProtection="1">
      <alignment horizontal="center"/>
    </xf>
    <xf numFmtId="0" fontId="0" fillId="0" borderId="0" xfId="0" applyFont="1"/>
    <xf numFmtId="0" fontId="9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center" textRotation="90"/>
    </xf>
    <xf numFmtId="0" fontId="2" fillId="2" borderId="28" xfId="0" applyFont="1" applyFill="1" applyBorder="1" applyAlignment="1">
      <alignment vertical="center" textRotation="90"/>
    </xf>
    <xf numFmtId="0" fontId="2" fillId="2" borderId="29" xfId="0" applyFont="1" applyFill="1" applyBorder="1" applyAlignment="1">
      <alignment vertical="center" textRotation="90"/>
    </xf>
    <xf numFmtId="0" fontId="6" fillId="3" borderId="19" xfId="0" applyFont="1" applyFill="1" applyBorder="1" applyAlignment="1">
      <alignment vertical="center" textRotation="90"/>
    </xf>
    <xf numFmtId="0" fontId="6" fillId="3" borderId="20" xfId="0" applyFont="1" applyFill="1" applyBorder="1" applyAlignment="1">
      <alignment vertical="center" textRotation="90"/>
    </xf>
    <xf numFmtId="0" fontId="6" fillId="3" borderId="21" xfId="0" applyFont="1" applyFill="1" applyBorder="1" applyAlignment="1">
      <alignment vertical="center" textRotation="90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8" borderId="27" xfId="0" applyFont="1" applyFill="1" applyBorder="1" applyAlignment="1">
      <alignment vertical="center" textRotation="90"/>
    </xf>
    <xf numFmtId="0" fontId="2" fillId="8" borderId="28" xfId="0" applyFont="1" applyFill="1" applyBorder="1" applyAlignment="1">
      <alignment vertical="center" textRotation="90"/>
    </xf>
    <xf numFmtId="0" fontId="2" fillId="8" borderId="29" xfId="0" applyFont="1" applyFill="1" applyBorder="1" applyAlignment="1">
      <alignment vertical="center" textRotation="90"/>
    </xf>
    <xf numFmtId="0" fontId="2" fillId="8" borderId="57" xfId="0" applyFont="1" applyFill="1" applyBorder="1" applyAlignment="1">
      <alignment vertical="center" textRotation="90"/>
    </xf>
    <xf numFmtId="0" fontId="2" fillId="8" borderId="60" xfId="0" applyFont="1" applyFill="1" applyBorder="1" applyAlignment="1">
      <alignment vertical="center" textRotation="90"/>
    </xf>
    <xf numFmtId="0" fontId="2" fillId="8" borderId="61" xfId="0" applyFont="1" applyFill="1" applyBorder="1" applyAlignment="1">
      <alignment vertical="center" textRotation="90"/>
    </xf>
    <xf numFmtId="0" fontId="14" fillId="2" borderId="26" xfId="0" applyFont="1" applyFill="1" applyBorder="1" applyAlignment="1">
      <alignment horizontal="center"/>
    </xf>
    <xf numFmtId="0" fontId="6" fillId="3" borderId="48" xfId="0" applyFont="1" applyFill="1" applyBorder="1" applyAlignment="1">
      <alignment vertical="center" textRotation="90"/>
    </xf>
    <xf numFmtId="0" fontId="6" fillId="3" borderId="49" xfId="0" applyFont="1" applyFill="1" applyBorder="1" applyAlignment="1">
      <alignment vertical="center" textRotation="90"/>
    </xf>
    <xf numFmtId="0" fontId="6" fillId="3" borderId="9" xfId="0" applyFont="1" applyFill="1" applyBorder="1" applyAlignment="1">
      <alignment vertical="center" textRotation="90"/>
    </xf>
    <xf numFmtId="0" fontId="2" fillId="3" borderId="43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2" fillId="2" borderId="3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35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9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2"/>
  <sheetViews>
    <sheetView zoomScale="90" zoomScaleNormal="90" zoomScalePageLayoutView="40" workbookViewId="0">
      <selection activeCell="J11" sqref="J11:K11"/>
    </sheetView>
  </sheetViews>
  <sheetFormatPr defaultRowHeight="12.75" x14ac:dyDescent="0.2"/>
  <cols>
    <col min="1" max="1" width="4.42578125" style="62" customWidth="1"/>
    <col min="2" max="2" width="7.5703125" style="62" customWidth="1"/>
    <col min="3" max="3" width="11.42578125" style="62" customWidth="1"/>
    <col min="4" max="4" width="11" style="62" customWidth="1"/>
    <col min="5" max="5" width="14.5703125" style="62" customWidth="1"/>
    <col min="6" max="7" width="12.7109375" style="62" customWidth="1"/>
    <col min="8" max="8" width="12.85546875" style="62" customWidth="1"/>
    <col min="9" max="9" width="10.28515625" style="62" customWidth="1"/>
    <col min="10" max="10" width="14.140625" style="62" customWidth="1"/>
    <col min="11" max="11" width="13.42578125" style="62" customWidth="1"/>
    <col min="12" max="12" width="11.85546875" style="62" customWidth="1"/>
    <col min="13" max="13" width="16.28515625" style="62" customWidth="1"/>
    <col min="14" max="16384" width="9.140625" style="62"/>
  </cols>
  <sheetData>
    <row r="1" spans="2:16" ht="17.25" customHeight="1" thickBot="1" x14ac:dyDescent="0.25"/>
    <row r="2" spans="2:16" ht="17.25" customHeight="1" thickBot="1" x14ac:dyDescent="0.25">
      <c r="B2" s="68" t="s">
        <v>115</v>
      </c>
      <c r="C2" s="69" t="s">
        <v>116</v>
      </c>
      <c r="D2" s="172" t="s">
        <v>117</v>
      </c>
      <c r="E2" s="172"/>
      <c r="F2" s="172" t="s">
        <v>118</v>
      </c>
      <c r="G2" s="172"/>
      <c r="H2" s="172" t="s">
        <v>119</v>
      </c>
      <c r="I2" s="172"/>
      <c r="J2" s="172" t="s">
        <v>120</v>
      </c>
      <c r="K2" s="172"/>
      <c r="L2" s="172" t="s">
        <v>121</v>
      </c>
      <c r="M2" s="172"/>
    </row>
    <row r="3" spans="2:16" ht="17.25" customHeight="1" x14ac:dyDescent="0.2">
      <c r="B3" s="188" t="s">
        <v>122</v>
      </c>
      <c r="C3" s="70" t="s">
        <v>123</v>
      </c>
      <c r="D3" s="127" t="s">
        <v>65</v>
      </c>
      <c r="E3" s="131"/>
      <c r="F3" s="127" t="s">
        <v>146</v>
      </c>
      <c r="G3" s="131"/>
      <c r="H3" s="147" t="s">
        <v>69</v>
      </c>
      <c r="I3" s="163"/>
      <c r="J3" s="190" t="s">
        <v>143</v>
      </c>
      <c r="K3" s="163"/>
      <c r="L3" s="127" t="s">
        <v>124</v>
      </c>
      <c r="M3" s="128"/>
    </row>
    <row r="4" spans="2:16" ht="17.25" customHeight="1" x14ac:dyDescent="0.2">
      <c r="B4" s="162"/>
      <c r="C4" s="71" t="s">
        <v>125</v>
      </c>
      <c r="D4" s="157" t="s">
        <v>147</v>
      </c>
      <c r="E4" s="187"/>
      <c r="F4" s="157" t="s">
        <v>76</v>
      </c>
      <c r="G4" s="187"/>
      <c r="H4" s="157" t="s">
        <v>195</v>
      </c>
      <c r="I4" s="187"/>
      <c r="J4" s="157" t="s">
        <v>148</v>
      </c>
      <c r="K4" s="187"/>
      <c r="L4" s="157" t="s">
        <v>76</v>
      </c>
      <c r="M4" s="158"/>
    </row>
    <row r="5" spans="2:16" ht="17.25" customHeight="1" thickBot="1" x14ac:dyDescent="0.25">
      <c r="B5" s="189"/>
      <c r="C5" s="87" t="s">
        <v>126</v>
      </c>
      <c r="D5" s="159" t="s">
        <v>66</v>
      </c>
      <c r="E5" s="160"/>
      <c r="F5" s="159" t="s">
        <v>160</v>
      </c>
      <c r="G5" s="160"/>
      <c r="H5" s="159" t="s">
        <v>127</v>
      </c>
      <c r="I5" s="160"/>
      <c r="J5" s="159" t="s">
        <v>259</v>
      </c>
      <c r="K5" s="160"/>
      <c r="L5" s="159" t="s">
        <v>196</v>
      </c>
      <c r="M5" s="191"/>
    </row>
    <row r="6" spans="2:16" ht="17.25" customHeight="1" thickBot="1" x14ac:dyDescent="0.25">
      <c r="B6" s="72" t="s">
        <v>128</v>
      </c>
      <c r="C6" s="73"/>
      <c r="D6" s="142" t="s">
        <v>197</v>
      </c>
      <c r="E6" s="143"/>
      <c r="F6" s="142" t="s">
        <v>78</v>
      </c>
      <c r="G6" s="143"/>
      <c r="H6" s="142" t="s">
        <v>198</v>
      </c>
      <c r="I6" s="143"/>
      <c r="J6" s="142" t="s">
        <v>78</v>
      </c>
      <c r="K6" s="143"/>
      <c r="L6" s="142" t="s">
        <v>197</v>
      </c>
      <c r="M6" s="146"/>
    </row>
    <row r="7" spans="2:16" ht="25.5" customHeight="1" x14ac:dyDescent="0.2">
      <c r="B7" s="74"/>
      <c r="C7" s="75" t="s">
        <v>125</v>
      </c>
      <c r="D7" s="127" t="s">
        <v>205</v>
      </c>
      <c r="E7" s="131"/>
      <c r="F7" s="147" t="s">
        <v>233</v>
      </c>
      <c r="G7" s="163"/>
      <c r="H7" s="147" t="s">
        <v>255</v>
      </c>
      <c r="I7" s="163"/>
      <c r="J7" s="178" t="s">
        <v>279</v>
      </c>
      <c r="K7" s="179"/>
      <c r="L7" s="127"/>
      <c r="M7" s="128"/>
    </row>
    <row r="8" spans="2:16" ht="24.75" customHeight="1" x14ac:dyDescent="0.2">
      <c r="B8" s="162" t="s">
        <v>129</v>
      </c>
      <c r="C8" s="76" t="s">
        <v>130</v>
      </c>
      <c r="D8" s="180" t="s">
        <v>149</v>
      </c>
      <c r="E8" s="168"/>
      <c r="F8" s="180" t="s">
        <v>81</v>
      </c>
      <c r="G8" s="168"/>
      <c r="H8" s="137" t="s">
        <v>199</v>
      </c>
      <c r="I8" s="137"/>
      <c r="J8" s="169" t="s">
        <v>150</v>
      </c>
      <c r="K8" s="169"/>
      <c r="L8" s="181" t="s">
        <v>200</v>
      </c>
      <c r="M8" s="182"/>
    </row>
    <row r="9" spans="2:16" ht="22.5" customHeight="1" x14ac:dyDescent="0.2">
      <c r="B9" s="162"/>
      <c r="C9" s="76" t="s">
        <v>131</v>
      </c>
      <c r="D9" s="165" t="s">
        <v>151</v>
      </c>
      <c r="E9" s="165"/>
      <c r="F9" s="169" t="s">
        <v>70</v>
      </c>
      <c r="G9" s="169"/>
      <c r="H9" s="169"/>
      <c r="I9" s="169"/>
      <c r="J9" s="183" t="s">
        <v>80</v>
      </c>
      <c r="K9" s="184"/>
      <c r="L9" s="169"/>
      <c r="M9" s="175"/>
    </row>
    <row r="10" spans="2:16" ht="17.25" customHeight="1" x14ac:dyDescent="0.2">
      <c r="B10" s="162"/>
      <c r="C10" s="76" t="s">
        <v>132</v>
      </c>
      <c r="D10" s="170"/>
      <c r="E10" s="170"/>
      <c r="F10" s="134" t="s">
        <v>245</v>
      </c>
      <c r="G10" s="135"/>
      <c r="H10" s="165"/>
      <c r="I10" s="165"/>
      <c r="J10" s="137"/>
      <c r="K10" s="137"/>
      <c r="L10" s="165"/>
      <c r="M10" s="167"/>
      <c r="P10" s="62" t="s">
        <v>22</v>
      </c>
    </row>
    <row r="11" spans="2:16" ht="25.5" customHeight="1" x14ac:dyDescent="0.2">
      <c r="B11" s="162"/>
      <c r="C11" s="76" t="s">
        <v>133</v>
      </c>
      <c r="D11" s="169" t="s">
        <v>201</v>
      </c>
      <c r="E11" s="169"/>
      <c r="F11" s="168"/>
      <c r="G11" s="169"/>
      <c r="H11" s="185" t="s">
        <v>152</v>
      </c>
      <c r="I11" s="185"/>
      <c r="J11" s="186" t="s">
        <v>142</v>
      </c>
      <c r="K11" s="186"/>
      <c r="L11" s="169" t="s">
        <v>153</v>
      </c>
      <c r="M11" s="175"/>
      <c r="O11" s="77"/>
    </row>
    <row r="12" spans="2:16" ht="17.25" customHeight="1" x14ac:dyDescent="0.2">
      <c r="B12" s="162"/>
      <c r="C12" s="76" t="s">
        <v>134</v>
      </c>
      <c r="D12" s="137"/>
      <c r="E12" s="137"/>
      <c r="F12" s="137"/>
      <c r="G12" s="137"/>
      <c r="H12" s="170"/>
      <c r="I12" s="170"/>
      <c r="J12" s="137"/>
      <c r="K12" s="137"/>
      <c r="L12" s="138"/>
      <c r="M12" s="139"/>
    </row>
    <row r="13" spans="2:16" ht="17.25" customHeight="1" thickBot="1" x14ac:dyDescent="0.25">
      <c r="B13" s="150"/>
      <c r="C13" s="78" t="s">
        <v>126</v>
      </c>
      <c r="D13" s="176" t="s">
        <v>155</v>
      </c>
      <c r="E13" s="176"/>
      <c r="F13" s="176" t="s">
        <v>155</v>
      </c>
      <c r="G13" s="176"/>
      <c r="H13" s="176" t="s">
        <v>68</v>
      </c>
      <c r="I13" s="176"/>
      <c r="J13" s="176" t="s">
        <v>67</v>
      </c>
      <c r="K13" s="176"/>
      <c r="L13" s="176" t="s">
        <v>154</v>
      </c>
      <c r="M13" s="177"/>
    </row>
    <row r="14" spans="2:16" ht="25.5" customHeight="1" x14ac:dyDescent="0.2">
      <c r="B14" s="149" t="s">
        <v>135</v>
      </c>
      <c r="C14" s="79" t="s">
        <v>136</v>
      </c>
      <c r="D14" s="129" t="s">
        <v>234</v>
      </c>
      <c r="E14" s="130"/>
      <c r="F14" s="173" t="s">
        <v>238</v>
      </c>
      <c r="G14" s="174"/>
      <c r="H14" s="129" t="s">
        <v>138</v>
      </c>
      <c r="I14" s="130"/>
      <c r="J14" s="151" t="s">
        <v>202</v>
      </c>
      <c r="K14" s="152"/>
      <c r="L14" s="151" t="s">
        <v>237</v>
      </c>
      <c r="M14" s="153"/>
    </row>
    <row r="15" spans="2:16" ht="17.25" customHeight="1" thickBot="1" x14ac:dyDescent="0.25">
      <c r="B15" s="150"/>
      <c r="C15" s="80" t="s">
        <v>126</v>
      </c>
      <c r="D15" s="132" t="s">
        <v>127</v>
      </c>
      <c r="E15" s="132"/>
      <c r="F15" s="132" t="s">
        <v>72</v>
      </c>
      <c r="G15" s="132"/>
      <c r="H15" s="132" t="s">
        <v>66</v>
      </c>
      <c r="I15" s="132"/>
      <c r="J15" s="156" t="s">
        <v>68</v>
      </c>
      <c r="K15" s="132"/>
      <c r="L15" s="132" t="s">
        <v>66</v>
      </c>
      <c r="M15" s="133"/>
      <c r="O15" s="171"/>
      <c r="P15" s="171"/>
    </row>
    <row r="16" spans="2:16" ht="17.25" customHeight="1" thickBot="1" x14ac:dyDescent="0.25">
      <c r="B16" s="68" t="s">
        <v>137</v>
      </c>
      <c r="C16" s="69" t="s">
        <v>116</v>
      </c>
      <c r="D16" s="172" t="s">
        <v>117</v>
      </c>
      <c r="E16" s="172"/>
      <c r="F16" s="172" t="s">
        <v>118</v>
      </c>
      <c r="G16" s="172"/>
      <c r="H16" s="172" t="s">
        <v>119</v>
      </c>
      <c r="I16" s="172"/>
      <c r="J16" s="172" t="s">
        <v>120</v>
      </c>
      <c r="K16" s="172"/>
      <c r="L16" s="172" t="s">
        <v>121</v>
      </c>
      <c r="M16" s="172"/>
    </row>
    <row r="17" spans="2:14" ht="18.75" customHeight="1" x14ac:dyDescent="0.2">
      <c r="B17" s="149" t="s">
        <v>122</v>
      </c>
      <c r="C17" s="70" t="s">
        <v>123</v>
      </c>
      <c r="D17" s="127" t="s">
        <v>141</v>
      </c>
      <c r="E17" s="131"/>
      <c r="F17" s="127" t="s">
        <v>80</v>
      </c>
      <c r="G17" s="131"/>
      <c r="H17" s="164" t="s">
        <v>140</v>
      </c>
      <c r="I17" s="131"/>
      <c r="J17" s="127" t="s">
        <v>203</v>
      </c>
      <c r="K17" s="131"/>
      <c r="L17" s="147" t="s">
        <v>69</v>
      </c>
      <c r="M17" s="148"/>
    </row>
    <row r="18" spans="2:14" ht="17.25" customHeight="1" x14ac:dyDescent="0.2">
      <c r="B18" s="162"/>
      <c r="C18" s="71" t="s">
        <v>125</v>
      </c>
      <c r="D18" s="157" t="s">
        <v>147</v>
      </c>
      <c r="E18" s="187"/>
      <c r="F18" s="157" t="s">
        <v>148</v>
      </c>
      <c r="G18" s="187"/>
      <c r="H18" s="157" t="s">
        <v>195</v>
      </c>
      <c r="I18" s="187"/>
      <c r="J18" s="157" t="s">
        <v>76</v>
      </c>
      <c r="K18" s="187"/>
      <c r="L18" s="157" t="s">
        <v>156</v>
      </c>
      <c r="M18" s="158"/>
    </row>
    <row r="19" spans="2:14" ht="17.25" customHeight="1" thickBot="1" x14ac:dyDescent="0.25">
      <c r="B19" s="150"/>
      <c r="C19" s="81" t="s">
        <v>126</v>
      </c>
      <c r="D19" s="159" t="s">
        <v>68</v>
      </c>
      <c r="E19" s="160"/>
      <c r="F19" s="132" t="s">
        <v>66</v>
      </c>
      <c r="G19" s="132"/>
      <c r="H19" s="132" t="s">
        <v>66</v>
      </c>
      <c r="I19" s="132"/>
      <c r="J19" s="132" t="s">
        <v>79</v>
      </c>
      <c r="K19" s="132"/>
      <c r="L19" s="154" t="s">
        <v>269</v>
      </c>
      <c r="M19" s="161"/>
    </row>
    <row r="20" spans="2:14" ht="17.25" customHeight="1" thickBot="1" x14ac:dyDescent="0.25">
      <c r="B20" s="82" t="s">
        <v>128</v>
      </c>
      <c r="C20" s="83"/>
      <c r="D20" s="140" t="s">
        <v>204</v>
      </c>
      <c r="E20" s="141"/>
      <c r="F20" s="142" t="s">
        <v>235</v>
      </c>
      <c r="G20" s="143"/>
      <c r="H20" s="144" t="s">
        <v>198</v>
      </c>
      <c r="I20" s="145"/>
      <c r="J20" s="142" t="s">
        <v>78</v>
      </c>
      <c r="K20" s="143"/>
      <c r="L20" s="142" t="s">
        <v>197</v>
      </c>
      <c r="M20" s="146"/>
      <c r="N20" s="120"/>
    </row>
    <row r="21" spans="2:14" ht="23.25" customHeight="1" x14ac:dyDescent="0.2">
      <c r="B21" s="149" t="s">
        <v>129</v>
      </c>
      <c r="C21" s="84" t="s">
        <v>125</v>
      </c>
      <c r="D21" s="129" t="s">
        <v>271</v>
      </c>
      <c r="E21" s="130"/>
      <c r="F21" s="147" t="s">
        <v>233</v>
      </c>
      <c r="G21" s="163"/>
      <c r="H21" s="127"/>
      <c r="I21" s="131"/>
      <c r="J21" s="127" t="s">
        <v>205</v>
      </c>
      <c r="K21" s="131"/>
      <c r="L21" s="164" t="s">
        <v>236</v>
      </c>
      <c r="M21" s="128"/>
    </row>
    <row r="22" spans="2:14" ht="17.25" customHeight="1" x14ac:dyDescent="0.2">
      <c r="B22" s="162"/>
      <c r="C22" s="76" t="s">
        <v>130</v>
      </c>
      <c r="D22" s="137" t="s">
        <v>157</v>
      </c>
      <c r="E22" s="137"/>
      <c r="F22" s="165" t="s">
        <v>206</v>
      </c>
      <c r="G22" s="165"/>
      <c r="H22" s="166" t="s">
        <v>158</v>
      </c>
      <c r="I22" s="165"/>
      <c r="J22" s="165" t="s">
        <v>265</v>
      </c>
      <c r="K22" s="165"/>
      <c r="L22" s="165" t="s">
        <v>81</v>
      </c>
      <c r="M22" s="167"/>
    </row>
    <row r="23" spans="2:14" ht="25.5" customHeight="1" x14ac:dyDescent="0.2">
      <c r="B23" s="162"/>
      <c r="C23" s="76" t="s">
        <v>131</v>
      </c>
      <c r="D23" s="168" t="s">
        <v>65</v>
      </c>
      <c r="E23" s="169"/>
      <c r="F23" s="165" t="s">
        <v>70</v>
      </c>
      <c r="G23" s="165"/>
      <c r="H23" s="137" t="s">
        <v>77</v>
      </c>
      <c r="I23" s="137"/>
      <c r="J23" s="170"/>
      <c r="K23" s="170"/>
      <c r="L23" s="165"/>
      <c r="M23" s="167"/>
    </row>
    <row r="24" spans="2:14" ht="17.25" customHeight="1" x14ac:dyDescent="0.2">
      <c r="B24" s="162"/>
      <c r="C24" s="76" t="s">
        <v>133</v>
      </c>
      <c r="D24" s="137"/>
      <c r="E24" s="137"/>
      <c r="F24" s="165" t="s">
        <v>159</v>
      </c>
      <c r="G24" s="165"/>
      <c r="H24" s="138" t="s">
        <v>142</v>
      </c>
      <c r="I24" s="138"/>
      <c r="J24" s="137" t="s">
        <v>71</v>
      </c>
      <c r="K24" s="137"/>
      <c r="L24" s="165" t="s">
        <v>276</v>
      </c>
      <c r="M24" s="167"/>
    </row>
    <row r="25" spans="2:14" ht="17.25" customHeight="1" x14ac:dyDescent="0.2">
      <c r="B25" s="162"/>
      <c r="C25" s="76"/>
      <c r="D25" s="134"/>
      <c r="E25" s="135"/>
      <c r="F25" s="134" t="s">
        <v>264</v>
      </c>
      <c r="G25" s="135"/>
      <c r="H25" s="134"/>
      <c r="I25" s="135"/>
      <c r="J25" s="134"/>
      <c r="K25" s="135"/>
      <c r="L25" s="134"/>
      <c r="M25" s="136"/>
    </row>
    <row r="26" spans="2:14" ht="17.25" customHeight="1" x14ac:dyDescent="0.2">
      <c r="B26" s="162"/>
      <c r="C26" s="76" t="s">
        <v>134</v>
      </c>
      <c r="D26" s="137" t="s">
        <v>207</v>
      </c>
      <c r="E26" s="137"/>
      <c r="F26" s="134"/>
      <c r="G26" s="135"/>
      <c r="H26" s="138"/>
      <c r="I26" s="138"/>
      <c r="J26" s="138"/>
      <c r="K26" s="138"/>
      <c r="L26" s="138"/>
      <c r="M26" s="139"/>
    </row>
    <row r="27" spans="2:14" ht="17.25" customHeight="1" thickBot="1" x14ac:dyDescent="0.25">
      <c r="B27" s="150"/>
      <c r="C27" s="78" t="s">
        <v>126</v>
      </c>
      <c r="D27" s="132" t="s">
        <v>155</v>
      </c>
      <c r="E27" s="132"/>
      <c r="F27" s="132" t="s">
        <v>155</v>
      </c>
      <c r="G27" s="132"/>
      <c r="H27" s="132" t="s">
        <v>72</v>
      </c>
      <c r="I27" s="132"/>
      <c r="J27" s="132" t="s">
        <v>66</v>
      </c>
      <c r="K27" s="132"/>
      <c r="L27" s="132" t="s">
        <v>155</v>
      </c>
      <c r="M27" s="133"/>
    </row>
    <row r="28" spans="2:14" ht="24" customHeight="1" x14ac:dyDescent="0.2">
      <c r="B28" s="149" t="s">
        <v>135</v>
      </c>
      <c r="C28" s="79" t="s">
        <v>136</v>
      </c>
      <c r="D28" s="151" t="s">
        <v>139</v>
      </c>
      <c r="E28" s="152"/>
      <c r="F28" s="151" t="s">
        <v>102</v>
      </c>
      <c r="G28" s="152"/>
      <c r="H28" s="151" t="s">
        <v>82</v>
      </c>
      <c r="I28" s="152"/>
      <c r="J28" s="151" t="s">
        <v>268</v>
      </c>
      <c r="K28" s="152"/>
      <c r="L28" s="151" t="s">
        <v>270</v>
      </c>
      <c r="M28" s="153"/>
    </row>
    <row r="29" spans="2:14" ht="17.25" customHeight="1" thickBot="1" x14ac:dyDescent="0.25">
      <c r="B29" s="150"/>
      <c r="C29" s="80" t="s">
        <v>126</v>
      </c>
      <c r="D29" s="132" t="s">
        <v>79</v>
      </c>
      <c r="E29" s="132"/>
      <c r="F29" s="132" t="s">
        <v>127</v>
      </c>
      <c r="G29" s="132"/>
      <c r="H29" s="154" t="s">
        <v>68</v>
      </c>
      <c r="I29" s="155"/>
      <c r="J29" s="132" t="s">
        <v>66</v>
      </c>
      <c r="K29" s="132"/>
      <c r="L29" s="156" t="s">
        <v>160</v>
      </c>
      <c r="M29" s="133"/>
    </row>
    <row r="30" spans="2:14" ht="17.25" customHeight="1" x14ac:dyDescent="0.2"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2:14" ht="17.25" customHeight="1" x14ac:dyDescent="0.2">
      <c r="C31" s="62" t="s">
        <v>22</v>
      </c>
      <c r="H31" s="62" t="s">
        <v>22</v>
      </c>
    </row>
    <row r="32" spans="2:14" ht="17.25" customHeight="1" x14ac:dyDescent="0.2"/>
  </sheetData>
  <mergeCells count="147">
    <mergeCell ref="L2:M2"/>
    <mergeCell ref="B3:B5"/>
    <mergeCell ref="D3:E3"/>
    <mergeCell ref="F3:G3"/>
    <mergeCell ref="H3:I3"/>
    <mergeCell ref="J3:K3"/>
    <mergeCell ref="L3:M3"/>
    <mergeCell ref="D4:E4"/>
    <mergeCell ref="F4:G4"/>
    <mergeCell ref="H4:I4"/>
    <mergeCell ref="L4:M4"/>
    <mergeCell ref="L5:M5"/>
    <mergeCell ref="B17:B19"/>
    <mergeCell ref="D17:E17"/>
    <mergeCell ref="F17:G17"/>
    <mergeCell ref="H17:I17"/>
    <mergeCell ref="J17:K17"/>
    <mergeCell ref="B14:B15"/>
    <mergeCell ref="D2:E2"/>
    <mergeCell ref="F2:G2"/>
    <mergeCell ref="H2:I2"/>
    <mergeCell ref="J2:K2"/>
    <mergeCell ref="J4:K4"/>
    <mergeCell ref="D5:E5"/>
    <mergeCell ref="F5:G5"/>
    <mergeCell ref="H5:I5"/>
    <mergeCell ref="J5:K5"/>
    <mergeCell ref="D6:E6"/>
    <mergeCell ref="F6:G6"/>
    <mergeCell ref="H6:I6"/>
    <mergeCell ref="J6:K6"/>
    <mergeCell ref="D7:E7"/>
    <mergeCell ref="D18:E18"/>
    <mergeCell ref="F18:G18"/>
    <mergeCell ref="H18:I18"/>
    <mergeCell ref="J18:K18"/>
    <mergeCell ref="L6:M6"/>
    <mergeCell ref="F7:G7"/>
    <mergeCell ref="H7:I7"/>
    <mergeCell ref="J7:K7"/>
    <mergeCell ref="B8:B13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D13:E13"/>
    <mergeCell ref="F13:G13"/>
    <mergeCell ref="H13:I13"/>
    <mergeCell ref="J13:K13"/>
    <mergeCell ref="L13:M13"/>
    <mergeCell ref="L14:M14"/>
    <mergeCell ref="D15:E15"/>
    <mergeCell ref="F15:G15"/>
    <mergeCell ref="H15:I15"/>
    <mergeCell ref="J15:K15"/>
    <mergeCell ref="L15:M15"/>
    <mergeCell ref="O15:P15"/>
    <mergeCell ref="D16:E16"/>
    <mergeCell ref="F16:G16"/>
    <mergeCell ref="H16:I16"/>
    <mergeCell ref="J16:K16"/>
    <mergeCell ref="L16:M16"/>
    <mergeCell ref="D14:E14"/>
    <mergeCell ref="F14:G14"/>
    <mergeCell ref="H14:I14"/>
    <mergeCell ref="J14:K14"/>
    <mergeCell ref="L18:M18"/>
    <mergeCell ref="D19:E19"/>
    <mergeCell ref="F19:G19"/>
    <mergeCell ref="H19:I19"/>
    <mergeCell ref="J19:K19"/>
    <mergeCell ref="L19:M19"/>
    <mergeCell ref="B21:B27"/>
    <mergeCell ref="F21:G21"/>
    <mergeCell ref="L21:M21"/>
    <mergeCell ref="D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B28:B29"/>
    <mergeCell ref="D28:E28"/>
    <mergeCell ref="F28:G28"/>
    <mergeCell ref="H28:I28"/>
    <mergeCell ref="J28:K28"/>
    <mergeCell ref="L28:M28"/>
    <mergeCell ref="D29:E29"/>
    <mergeCell ref="F29:G29"/>
    <mergeCell ref="H29:I29"/>
    <mergeCell ref="J29:K29"/>
    <mergeCell ref="L29:M29"/>
    <mergeCell ref="L7:M7"/>
    <mergeCell ref="D21:E21"/>
    <mergeCell ref="H21:I21"/>
    <mergeCell ref="J21:K21"/>
    <mergeCell ref="D27:E27"/>
    <mergeCell ref="F27:G27"/>
    <mergeCell ref="H27:I27"/>
    <mergeCell ref="J27:K27"/>
    <mergeCell ref="L27:M27"/>
    <mergeCell ref="F25:G25"/>
    <mergeCell ref="H25:I25"/>
    <mergeCell ref="J25:K25"/>
    <mergeCell ref="L25:M25"/>
    <mergeCell ref="D26:E26"/>
    <mergeCell ref="F26:G26"/>
    <mergeCell ref="H26:I26"/>
    <mergeCell ref="J26:K26"/>
    <mergeCell ref="L26:M26"/>
    <mergeCell ref="D20:E20"/>
    <mergeCell ref="F20:G20"/>
    <mergeCell ref="H20:I20"/>
    <mergeCell ref="J20:K20"/>
    <mergeCell ref="L20:M20"/>
    <mergeCell ref="L17:M17"/>
  </mergeCells>
  <hyperlinks>
    <hyperlink ref="D2:E2" location="'день 1 '!A1" display="1 день" xr:uid="{00000000-0004-0000-0000-000000000000}"/>
    <hyperlink ref="F2:M2" location="'день 1 '!A1" display="1 день" xr:uid="{00000000-0004-0000-0000-000001000000}"/>
    <hyperlink ref="D16:E16" location="'день 1 '!A1" display="1 день" xr:uid="{00000000-0004-0000-0000-000002000000}"/>
    <hyperlink ref="F16:M16" location="'день 1 '!A1" display="1 день" xr:uid="{00000000-0004-0000-0000-000003000000}"/>
  </hyperlinks>
  <pageMargins left="0.32291666666666669" right="0.7" top="0.29166666666666669" bottom="0.44791666666666669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4.9989318521683403E-2"/>
    <pageSetUpPr fitToPage="1"/>
  </sheetPr>
  <dimension ref="B3:Z45"/>
  <sheetViews>
    <sheetView zoomScale="90" zoomScaleNormal="90" zoomScalePageLayoutView="90" workbookViewId="0">
      <selection activeCell="B7" sqref="B7:B34"/>
    </sheetView>
  </sheetViews>
  <sheetFormatPr defaultColWidth="9.140625" defaultRowHeight="15" x14ac:dyDescent="0.25"/>
  <cols>
    <col min="1" max="1" width="5.5703125" style="12" customWidth="1"/>
    <col min="2" max="2" width="2.7109375" style="12" customWidth="1"/>
    <col min="3" max="3" width="10.5703125" style="12" customWidth="1"/>
    <col min="4" max="4" width="39.285156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.28515625" style="12" customWidth="1"/>
    <col min="16" max="16" width="5.7109375" style="12" customWidth="1"/>
    <col min="17" max="18" width="5.28515625" style="12" customWidth="1"/>
    <col min="19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16.5" customHeight="1" thickBot="1" x14ac:dyDescent="0.3">
      <c r="B3" s="194" t="s">
        <v>54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35" t="s">
        <v>38</v>
      </c>
      <c r="C4" s="203" t="s">
        <v>0</v>
      </c>
      <c r="D4" s="206" t="s">
        <v>1</v>
      </c>
      <c r="E4" s="238" t="s">
        <v>6</v>
      </c>
      <c r="F4" s="239"/>
      <c r="G4" s="242" t="s">
        <v>7</v>
      </c>
      <c r="H4" s="243"/>
      <c r="I4" s="243"/>
      <c r="J4" s="243"/>
      <c r="K4" s="243"/>
      <c r="L4" s="244"/>
      <c r="M4" s="249" t="s">
        <v>5</v>
      </c>
      <c r="N4" s="250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15" customHeight="1" x14ac:dyDescent="0.25">
      <c r="B5" s="236"/>
      <c r="C5" s="204"/>
      <c r="D5" s="207"/>
      <c r="E5" s="240"/>
      <c r="F5" s="241"/>
      <c r="G5" s="245" t="s">
        <v>3</v>
      </c>
      <c r="H5" s="246"/>
      <c r="I5" s="247" t="s">
        <v>2</v>
      </c>
      <c r="J5" s="248"/>
      <c r="K5" s="245" t="s">
        <v>4</v>
      </c>
      <c r="L5" s="246"/>
      <c r="M5" s="251"/>
      <c r="N5" s="252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7.75" customHeight="1" thickBot="1" x14ac:dyDescent="0.3">
      <c r="B6" s="237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31" t="s">
        <v>50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25">
      <c r="B8" s="232"/>
      <c r="C8" s="15" t="s">
        <v>107</v>
      </c>
      <c r="D8" s="8" t="s">
        <v>223</v>
      </c>
      <c r="E8" s="91">
        <v>140</v>
      </c>
      <c r="F8" s="24">
        <v>160</v>
      </c>
      <c r="G8" s="17">
        <f>E8*3.63/100</f>
        <v>5.0819999999999999</v>
      </c>
      <c r="H8" s="27">
        <f>F8*3.63/100</f>
        <v>5.8079999999999998</v>
      </c>
      <c r="I8" s="17">
        <f>E8*3.23/100</f>
        <v>4.5220000000000002</v>
      </c>
      <c r="J8" s="27">
        <f>F8*3.23/100</f>
        <v>5.1679999999999993</v>
      </c>
      <c r="K8" s="17">
        <f>E8*17.68/100</f>
        <v>24.751999999999999</v>
      </c>
      <c r="L8" s="27">
        <f>F8*17.68/100</f>
        <v>28.288</v>
      </c>
      <c r="M8" s="17">
        <f t="shared" ref="M8:N10" si="0">G8*4+I8*9+K8*4</f>
        <v>160.03399999999999</v>
      </c>
      <c r="N8" s="29">
        <f t="shared" si="0"/>
        <v>182.89600000000002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25">
      <c r="B9" s="232"/>
      <c r="C9" s="16" t="s">
        <v>211</v>
      </c>
      <c r="D9" s="92" t="s">
        <v>212</v>
      </c>
      <c r="E9" s="63">
        <v>25</v>
      </c>
      <c r="F9" s="60">
        <v>35</v>
      </c>
      <c r="G9" s="93">
        <f>E9*7.5/100</f>
        <v>1.875</v>
      </c>
      <c r="H9" s="37">
        <f>F9*7.5/100</f>
        <v>2.625</v>
      </c>
      <c r="I9" s="94">
        <f>E9*2.9/100</f>
        <v>0.72499999999999998</v>
      </c>
      <c r="J9" s="27">
        <f>F9*2.9/100</f>
        <v>1.0149999999999999</v>
      </c>
      <c r="K9" s="94">
        <f>E9*51.4/100</f>
        <v>12.85</v>
      </c>
      <c r="L9" s="27">
        <f>F9*51.4/100</f>
        <v>17.989999999999998</v>
      </c>
      <c r="M9" s="94">
        <f t="shared" si="0"/>
        <v>65.424999999999997</v>
      </c>
      <c r="N9" s="29">
        <f t="shared" si="0"/>
        <v>91.594999999999999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232"/>
      <c r="C10" s="46" t="s">
        <v>166</v>
      </c>
      <c r="D10" s="47" t="s">
        <v>167</v>
      </c>
      <c r="E10" s="91">
        <v>8</v>
      </c>
      <c r="F10" s="48">
        <v>10</v>
      </c>
      <c r="G10" s="17">
        <f>E10*23.2/100</f>
        <v>1.8559999999999999</v>
      </c>
      <c r="H10" s="27">
        <f>F10*23.2/100</f>
        <v>2.3199999999999998</v>
      </c>
      <c r="I10" s="17">
        <f>E10*29.5/100</f>
        <v>2.36</v>
      </c>
      <c r="J10" s="27">
        <f>F10*29.5/100</f>
        <v>2.95</v>
      </c>
      <c r="K10" s="17">
        <f>E10*0/100</f>
        <v>0</v>
      </c>
      <c r="L10" s="27">
        <f>F10*0/100</f>
        <v>0</v>
      </c>
      <c r="M10" s="17">
        <f t="shared" si="0"/>
        <v>28.663999999999998</v>
      </c>
      <c r="N10" s="29">
        <f t="shared" si="0"/>
        <v>35.83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232"/>
      <c r="C11" s="15" t="s">
        <v>93</v>
      </c>
      <c r="D11" s="9" t="s">
        <v>94</v>
      </c>
      <c r="E11" s="91">
        <v>180</v>
      </c>
      <c r="F11" s="25">
        <v>200</v>
      </c>
      <c r="G11" s="17">
        <f>E11*1.65/100</f>
        <v>2.97</v>
      </c>
      <c r="H11" s="27">
        <f>F11*1.65/100</f>
        <v>3.3</v>
      </c>
      <c r="I11" s="17">
        <f>E11*1.45/100</f>
        <v>2.61</v>
      </c>
      <c r="J11" s="27">
        <f>F11*1.45/100</f>
        <v>2.9</v>
      </c>
      <c r="K11" s="17">
        <f>E11*6.9/100</f>
        <v>12.42</v>
      </c>
      <c r="L11" s="27">
        <f>F11*6.9/100</f>
        <v>13.8</v>
      </c>
      <c r="M11" s="17">
        <f t="shared" ref="M11:N12" si="1">G11*4+I11*9+K11*4</f>
        <v>85.05</v>
      </c>
      <c r="N11" s="29">
        <f t="shared" si="1"/>
        <v>94.5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232"/>
      <c r="C12" s="23"/>
      <c r="D12" s="4" t="s">
        <v>13</v>
      </c>
      <c r="E12" s="21">
        <f>SUM(E8:E11)</f>
        <v>353</v>
      </c>
      <c r="F12" s="26">
        <f t="shared" ref="F12" si="2">SUM(F8:F11)</f>
        <v>405</v>
      </c>
      <c r="G12" s="7">
        <f>SUM(G8:G11)</f>
        <v>11.782999999999999</v>
      </c>
      <c r="H12" s="28">
        <f t="shared" ref="H12:K12" si="3">SUM(H8:H11)</f>
        <v>14.053000000000001</v>
      </c>
      <c r="I12" s="7">
        <f t="shared" si="3"/>
        <v>10.216999999999999</v>
      </c>
      <c r="J12" s="28">
        <f t="shared" si="3"/>
        <v>12.032999999999999</v>
      </c>
      <c r="K12" s="7">
        <f t="shared" si="3"/>
        <v>50.021999999999998</v>
      </c>
      <c r="L12" s="28">
        <f>SUM(L8:L11)</f>
        <v>60.078000000000003</v>
      </c>
      <c r="M12" s="7">
        <f>G12*4+I12*9+K12*4</f>
        <v>339.173</v>
      </c>
      <c r="N12" s="30">
        <f t="shared" si="1"/>
        <v>404.82100000000003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ht="13.5" customHeight="1" x14ac:dyDescent="0.25">
      <c r="B13" s="232"/>
      <c r="C13" s="234" t="s">
        <v>224</v>
      </c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5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232"/>
      <c r="C14" s="15" t="s">
        <v>225</v>
      </c>
      <c r="D14" s="8" t="s">
        <v>226</v>
      </c>
      <c r="E14" s="91">
        <v>140</v>
      </c>
      <c r="F14" s="24">
        <v>160</v>
      </c>
      <c r="G14" s="17">
        <f>E14*3.62/100</f>
        <v>5.0680000000000005</v>
      </c>
      <c r="H14" s="27">
        <f>F14*3.62/100</f>
        <v>5.7920000000000007</v>
      </c>
      <c r="I14" s="17">
        <f>E14*3.32/100</f>
        <v>4.6479999999999997</v>
      </c>
      <c r="J14" s="27">
        <f>F14*3.32/100</f>
        <v>5.3119999999999994</v>
      </c>
      <c r="K14" s="17">
        <f>E14*16.56/100</f>
        <v>23.183999999999997</v>
      </c>
      <c r="L14" s="27">
        <f>F14*16.56/100</f>
        <v>26.495999999999999</v>
      </c>
      <c r="M14" s="17">
        <f t="shared" ref="M14:N14" si="4">G14*4+I14*9+K14*4</f>
        <v>154.83999999999997</v>
      </c>
      <c r="N14" s="29">
        <f t="shared" si="4"/>
        <v>176.95999999999998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32"/>
      <c r="C15" s="200" t="s">
        <v>83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2"/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232"/>
      <c r="C16" s="15" t="s">
        <v>168</v>
      </c>
      <c r="D16" s="9" t="s">
        <v>214</v>
      </c>
      <c r="E16" s="91">
        <v>100</v>
      </c>
      <c r="F16" s="24">
        <v>130</v>
      </c>
      <c r="G16" s="17">
        <f>E16*3/100</f>
        <v>3</v>
      </c>
      <c r="H16" s="27">
        <f>F16*3/100</f>
        <v>3.9</v>
      </c>
      <c r="I16" s="17">
        <f>E16*2.5/100</f>
        <v>2.5</v>
      </c>
      <c r="J16" s="27">
        <f>F16*2.5/100</f>
        <v>3.25</v>
      </c>
      <c r="K16" s="17">
        <f>E16*11/100</f>
        <v>11</v>
      </c>
      <c r="L16" s="27">
        <f>F16*11/100</f>
        <v>14.3</v>
      </c>
      <c r="M16" s="17">
        <f t="shared" ref="M16:N16" si="5">G16*4+I16*9+K16*4</f>
        <v>78.5</v>
      </c>
      <c r="N16" s="29">
        <f t="shared" si="5"/>
        <v>102.05000000000001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32"/>
      <c r="C17" s="15"/>
      <c r="D17" s="4" t="s">
        <v>84</v>
      </c>
      <c r="E17" s="21">
        <f t="shared" ref="E17:L17" si="6">SUM(E16)</f>
        <v>100</v>
      </c>
      <c r="F17" s="26">
        <f t="shared" si="6"/>
        <v>130</v>
      </c>
      <c r="G17" s="7">
        <f t="shared" si="6"/>
        <v>3</v>
      </c>
      <c r="H17" s="28">
        <f t="shared" si="6"/>
        <v>3.9</v>
      </c>
      <c r="I17" s="7">
        <f t="shared" si="6"/>
        <v>2.5</v>
      </c>
      <c r="J17" s="28">
        <f t="shared" si="6"/>
        <v>3.25</v>
      </c>
      <c r="K17" s="7">
        <f t="shared" si="6"/>
        <v>11</v>
      </c>
      <c r="L17" s="28">
        <f t="shared" si="6"/>
        <v>14.3</v>
      </c>
      <c r="M17" s="7">
        <f>G17*4+I17*9+K17*4</f>
        <v>78.5</v>
      </c>
      <c r="N17" s="30">
        <f>H17*4+J17*9+L17*4</f>
        <v>102.05000000000001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32"/>
      <c r="C18" s="200" t="s">
        <v>9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2"/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32"/>
      <c r="C19" s="44" t="s">
        <v>35</v>
      </c>
      <c r="D19" s="96" t="s">
        <v>230</v>
      </c>
      <c r="E19" s="97">
        <v>30</v>
      </c>
      <c r="F19" s="98">
        <v>50</v>
      </c>
      <c r="G19" s="99">
        <f>E19*1.7/100</f>
        <v>0.51</v>
      </c>
      <c r="H19" s="100">
        <f>F19*1.7/100</f>
        <v>0.85</v>
      </c>
      <c r="I19" s="99">
        <f>E19*9/100</f>
        <v>2.7</v>
      </c>
      <c r="J19" s="100">
        <f>F19*9/100</f>
        <v>4.5</v>
      </c>
      <c r="K19" s="99">
        <f>E19*9/100</f>
        <v>2.7</v>
      </c>
      <c r="L19" s="100">
        <f>F19*9/100</f>
        <v>4.5</v>
      </c>
      <c r="M19" s="101">
        <f t="shared" ref="M19:N20" si="7">G19*4+I19*9+K19*4</f>
        <v>37.14</v>
      </c>
      <c r="N19" s="102">
        <f t="shared" si="7"/>
        <v>61.9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32"/>
      <c r="C20" s="15" t="s">
        <v>74</v>
      </c>
      <c r="D20" s="9" t="s">
        <v>75</v>
      </c>
      <c r="E20" s="38">
        <v>150</v>
      </c>
      <c r="F20" s="36">
        <v>180</v>
      </c>
      <c r="G20" s="19">
        <f>E20*13.5/250</f>
        <v>8.1</v>
      </c>
      <c r="H20" s="37">
        <f>F20*13.5/250</f>
        <v>9.7200000000000006</v>
      </c>
      <c r="I20" s="19">
        <f>E20*3.6/250</f>
        <v>2.16</v>
      </c>
      <c r="J20" s="37">
        <f>F20*3.6/250</f>
        <v>2.5920000000000001</v>
      </c>
      <c r="K20" s="19">
        <f>E20*12.5/250</f>
        <v>7.5</v>
      </c>
      <c r="L20" s="37">
        <f>F20*12.5/250</f>
        <v>9</v>
      </c>
      <c r="M20" s="19">
        <f t="shared" si="7"/>
        <v>81.84</v>
      </c>
      <c r="N20" s="34">
        <f t="shared" si="7"/>
        <v>98.207999999999998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32"/>
      <c r="C21" s="15" t="s">
        <v>194</v>
      </c>
      <c r="D21" s="8" t="s">
        <v>227</v>
      </c>
      <c r="E21" s="91">
        <v>150</v>
      </c>
      <c r="F21" s="25">
        <v>200</v>
      </c>
      <c r="G21" s="17">
        <f>E21*10.8/100</f>
        <v>16.2</v>
      </c>
      <c r="H21" s="27">
        <f>F21*10.8/100</f>
        <v>21.6</v>
      </c>
      <c r="I21" s="91">
        <f>E21*5.9/100</f>
        <v>8.85</v>
      </c>
      <c r="J21" s="27">
        <f>F21*5.9/100</f>
        <v>11.8</v>
      </c>
      <c r="K21" s="17">
        <f>E21*18.9/100</f>
        <v>28.35</v>
      </c>
      <c r="L21" s="27">
        <f>F21*18.9/100</f>
        <v>37.799999999999997</v>
      </c>
      <c r="M21" s="17">
        <f t="shared" ref="M21:N24" si="8">G21*4+I21*9+K21*4</f>
        <v>257.85000000000002</v>
      </c>
      <c r="N21" s="29">
        <f t="shared" si="8"/>
        <v>343.8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32"/>
      <c r="C22" s="16" t="s">
        <v>46</v>
      </c>
      <c r="D22" s="6" t="s">
        <v>11</v>
      </c>
      <c r="E22" s="91">
        <v>150</v>
      </c>
      <c r="F22" s="25">
        <v>180</v>
      </c>
      <c r="G22" s="17">
        <f>E22*0.3/200</f>
        <v>0.22500000000000001</v>
      </c>
      <c r="H22" s="27">
        <f>F22*0.3/200</f>
        <v>0.27</v>
      </c>
      <c r="I22" s="17">
        <f t="shared" ref="I22:J22" si="9">E22*0.1/200</f>
        <v>7.4999999999999997E-2</v>
      </c>
      <c r="J22" s="27">
        <f t="shared" si="9"/>
        <v>0.09</v>
      </c>
      <c r="K22" s="17">
        <f>E22*9.5/200</f>
        <v>7.125</v>
      </c>
      <c r="L22" s="27">
        <f>F22*9.5/200</f>
        <v>8.5500000000000007</v>
      </c>
      <c r="M22" s="17">
        <f t="shared" si="8"/>
        <v>30.074999999999999</v>
      </c>
      <c r="N22" s="29">
        <f t="shared" si="8"/>
        <v>36.090000000000003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ht="15" customHeight="1" x14ac:dyDescent="0.25">
      <c r="B23" s="232"/>
      <c r="C23" s="16" t="s">
        <v>165</v>
      </c>
      <c r="D23" s="6" t="s">
        <v>21</v>
      </c>
      <c r="E23" s="63">
        <v>25</v>
      </c>
      <c r="F23" s="60">
        <v>30</v>
      </c>
      <c r="G23" s="17">
        <f>E23*8/100</f>
        <v>2</v>
      </c>
      <c r="H23" s="27">
        <f>F23*8/100</f>
        <v>2.4</v>
      </c>
      <c r="I23" s="17">
        <f>E23*1.5/100</f>
        <v>0.375</v>
      </c>
      <c r="J23" s="27">
        <f>F23*1.5/100</f>
        <v>0.45</v>
      </c>
      <c r="K23" s="17">
        <f>E23*40.1/100</f>
        <v>10.025</v>
      </c>
      <c r="L23" s="27">
        <f>F23*40.1/100</f>
        <v>12.03</v>
      </c>
      <c r="M23" s="17">
        <f t="shared" si="8"/>
        <v>51.475000000000001</v>
      </c>
      <c r="N23" s="29">
        <f t="shared" si="8"/>
        <v>61.769999999999996</v>
      </c>
    </row>
    <row r="24" spans="2:26" x14ac:dyDescent="0.25">
      <c r="B24" s="232"/>
      <c r="C24" s="16" t="s">
        <v>163</v>
      </c>
      <c r="D24" s="6" t="s">
        <v>164</v>
      </c>
      <c r="E24" s="63">
        <v>25</v>
      </c>
      <c r="F24" s="60">
        <v>35</v>
      </c>
      <c r="G24" s="17">
        <f>E24*7.6/100</f>
        <v>1.9</v>
      </c>
      <c r="H24" s="27">
        <f>F24*7.6/100</f>
        <v>2.66</v>
      </c>
      <c r="I24" s="17">
        <f>E24*0.8/100</f>
        <v>0.2</v>
      </c>
      <c r="J24" s="27">
        <f>F24*0.8/100</f>
        <v>0.28000000000000003</v>
      </c>
      <c r="K24" s="17">
        <f>E24*49.2/100</f>
        <v>12.3</v>
      </c>
      <c r="L24" s="27">
        <f>F24*49.2/100</f>
        <v>17.22</v>
      </c>
      <c r="M24" s="17">
        <f t="shared" si="8"/>
        <v>58.6</v>
      </c>
      <c r="N24" s="29">
        <f t="shared" si="8"/>
        <v>82.039999999999992</v>
      </c>
      <c r="Q24" s="12" t="s">
        <v>22</v>
      </c>
    </row>
    <row r="25" spans="2:26" x14ac:dyDescent="0.25">
      <c r="B25" s="232"/>
      <c r="C25" s="16"/>
      <c r="D25" s="4" t="s">
        <v>14</v>
      </c>
      <c r="E25" s="21">
        <f t="shared" ref="E25:N25" si="10">SUM(E19:E24)</f>
        <v>530</v>
      </c>
      <c r="F25" s="32">
        <f t="shared" si="10"/>
        <v>675</v>
      </c>
      <c r="G25" s="7">
        <f t="shared" si="10"/>
        <v>28.934999999999999</v>
      </c>
      <c r="H25" s="28">
        <f t="shared" si="10"/>
        <v>37.5</v>
      </c>
      <c r="I25" s="7">
        <f t="shared" si="10"/>
        <v>14.36</v>
      </c>
      <c r="J25" s="28">
        <f t="shared" si="10"/>
        <v>19.712000000000003</v>
      </c>
      <c r="K25" s="7">
        <f t="shared" si="10"/>
        <v>68</v>
      </c>
      <c r="L25" s="28">
        <f t="shared" si="10"/>
        <v>89.1</v>
      </c>
      <c r="M25" s="7">
        <f t="shared" si="10"/>
        <v>516.98</v>
      </c>
      <c r="N25" s="30">
        <f t="shared" si="10"/>
        <v>683.80799999999999</v>
      </c>
    </row>
    <row r="26" spans="2:26" ht="13.5" customHeight="1" x14ac:dyDescent="0.25">
      <c r="B26" s="232"/>
      <c r="C26" s="234" t="s">
        <v>224</v>
      </c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/>
    </row>
    <row r="27" spans="2:26" x14ac:dyDescent="0.25">
      <c r="B27" s="232"/>
      <c r="C27" s="16" t="s">
        <v>228</v>
      </c>
      <c r="D27" s="6" t="s">
        <v>229</v>
      </c>
      <c r="E27" s="91">
        <v>150</v>
      </c>
      <c r="F27" s="25">
        <v>180</v>
      </c>
      <c r="G27" s="17">
        <f>E27*8.1/100</f>
        <v>12.15</v>
      </c>
      <c r="H27" s="27">
        <f>F27*8.1/100</f>
        <v>14.58</v>
      </c>
      <c r="I27" s="91">
        <f>E27*7.9/100</f>
        <v>11.85</v>
      </c>
      <c r="J27" s="25">
        <f>F27*7.9/100</f>
        <v>14.22</v>
      </c>
      <c r="K27" s="17">
        <f>E27*18.1/100</f>
        <v>27.15</v>
      </c>
      <c r="L27" s="27">
        <f>F27*18.1/100</f>
        <v>32.580000000000005</v>
      </c>
      <c r="M27" s="17">
        <f t="shared" ref="M27:N27" si="11">G27*4+I27*9+K27*4</f>
        <v>263.85000000000002</v>
      </c>
      <c r="N27" s="29">
        <f t="shared" si="11"/>
        <v>316.62</v>
      </c>
    </row>
    <row r="28" spans="2:26" x14ac:dyDescent="0.25">
      <c r="B28" s="232"/>
      <c r="C28" s="213" t="s">
        <v>88</v>
      </c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5"/>
    </row>
    <row r="29" spans="2:26" ht="15" customHeight="1" x14ac:dyDescent="0.25">
      <c r="B29" s="232"/>
      <c r="C29" s="15" t="s">
        <v>249</v>
      </c>
      <c r="D29" s="64" t="s">
        <v>250</v>
      </c>
      <c r="E29" s="109">
        <v>100</v>
      </c>
      <c r="F29" s="36">
        <v>100</v>
      </c>
      <c r="G29" s="19">
        <f>E29*1.3/100</f>
        <v>1.3</v>
      </c>
      <c r="H29" s="37">
        <f>F29*1.3/100</f>
        <v>1.3</v>
      </c>
      <c r="I29" s="19">
        <f>E29*9.9/100</f>
        <v>9.9</v>
      </c>
      <c r="J29" s="37">
        <f>F29*9.9/100</f>
        <v>9.9</v>
      </c>
      <c r="K29" s="19">
        <f>E29*8.4/100</f>
        <v>8.4</v>
      </c>
      <c r="L29" s="37">
        <f>F29*8.4/100</f>
        <v>8.4</v>
      </c>
      <c r="M29" s="19">
        <f t="shared" ref="M29:N32" si="12">G29*4+I29*9+K29*4</f>
        <v>127.9</v>
      </c>
      <c r="N29" s="34">
        <f t="shared" si="12"/>
        <v>127.9</v>
      </c>
    </row>
    <row r="30" spans="2:26" ht="15" customHeight="1" x14ac:dyDescent="0.25">
      <c r="B30" s="232"/>
      <c r="C30" s="15" t="s">
        <v>161</v>
      </c>
      <c r="D30" s="8" t="s">
        <v>162</v>
      </c>
      <c r="E30" s="108">
        <v>25</v>
      </c>
      <c r="F30" s="24">
        <v>25</v>
      </c>
      <c r="G30" s="17">
        <f>E30*12.7/100</f>
        <v>3.1749999999999998</v>
      </c>
      <c r="H30" s="27">
        <f>F30*12.7/100</f>
        <v>3.1749999999999998</v>
      </c>
      <c r="I30" s="17">
        <f>E30*11.5/100</f>
        <v>2.875</v>
      </c>
      <c r="J30" s="27">
        <f>F30*11.5/100</f>
        <v>2.875</v>
      </c>
      <c r="K30" s="17">
        <f>E30*0.07/100</f>
        <v>1.7500000000000002E-2</v>
      </c>
      <c r="L30" s="27">
        <f>F30*0.07/100</f>
        <v>1.7500000000000002E-2</v>
      </c>
      <c r="M30" s="17">
        <f t="shared" si="12"/>
        <v>38.645000000000003</v>
      </c>
      <c r="N30" s="29">
        <f t="shared" si="12"/>
        <v>38.645000000000003</v>
      </c>
    </row>
    <row r="31" spans="2:26" ht="15" customHeight="1" x14ac:dyDescent="0.25">
      <c r="B31" s="232"/>
      <c r="C31" s="16" t="s">
        <v>163</v>
      </c>
      <c r="D31" s="6" t="s">
        <v>164</v>
      </c>
      <c r="E31" s="63">
        <v>25</v>
      </c>
      <c r="F31" s="60">
        <v>35</v>
      </c>
      <c r="G31" s="17">
        <f>E31*7.6/100</f>
        <v>1.9</v>
      </c>
      <c r="H31" s="27">
        <f>F31*7.6/100</f>
        <v>2.66</v>
      </c>
      <c r="I31" s="17">
        <f>E31*0.8/100</f>
        <v>0.2</v>
      </c>
      <c r="J31" s="27">
        <f>F31*0.8/100</f>
        <v>0.28000000000000003</v>
      </c>
      <c r="K31" s="17">
        <f>E31*49.2/100</f>
        <v>12.3</v>
      </c>
      <c r="L31" s="27">
        <f>F31*49.2/100</f>
        <v>17.22</v>
      </c>
      <c r="M31" s="17">
        <f t="shared" si="12"/>
        <v>58.6</v>
      </c>
      <c r="N31" s="29">
        <f t="shared" si="12"/>
        <v>82.039999999999992</v>
      </c>
    </row>
    <row r="32" spans="2:26" ht="15" customHeight="1" x14ac:dyDescent="0.25">
      <c r="B32" s="232"/>
      <c r="C32" s="16" t="s">
        <v>46</v>
      </c>
      <c r="D32" s="6" t="s">
        <v>11</v>
      </c>
      <c r="E32" s="108">
        <v>150</v>
      </c>
      <c r="F32" s="25">
        <v>180</v>
      </c>
      <c r="G32" s="17">
        <f>E32*0.3/200</f>
        <v>0.22500000000000001</v>
      </c>
      <c r="H32" s="27">
        <f>F32*0.3/200</f>
        <v>0.27</v>
      </c>
      <c r="I32" s="17">
        <f t="shared" ref="I32" si="13">E32*0.1/200</f>
        <v>7.4999999999999997E-2</v>
      </c>
      <c r="J32" s="27">
        <f t="shared" ref="J32" si="14">F32*0.1/200</f>
        <v>0.09</v>
      </c>
      <c r="K32" s="17">
        <f>E32*9.5/200</f>
        <v>7.125</v>
      </c>
      <c r="L32" s="27">
        <f>F32*9.5/200</f>
        <v>8.5500000000000007</v>
      </c>
      <c r="M32" s="17">
        <f t="shared" si="12"/>
        <v>30.074999999999999</v>
      </c>
      <c r="N32" s="29">
        <f t="shared" si="12"/>
        <v>36.090000000000003</v>
      </c>
    </row>
    <row r="33" spans="2:14" x14ac:dyDescent="0.25">
      <c r="B33" s="232"/>
      <c r="C33" s="42"/>
      <c r="D33" s="49" t="s">
        <v>85</v>
      </c>
      <c r="E33" s="50">
        <f t="shared" ref="E33:N33" si="15">SUM(E29:E32)</f>
        <v>300</v>
      </c>
      <c r="F33" s="51">
        <f t="shared" si="15"/>
        <v>340</v>
      </c>
      <c r="G33" s="52">
        <f t="shared" si="15"/>
        <v>6.6</v>
      </c>
      <c r="H33" s="53">
        <f t="shared" si="15"/>
        <v>7.4049999999999994</v>
      </c>
      <c r="I33" s="52">
        <f t="shared" si="15"/>
        <v>13.049999999999999</v>
      </c>
      <c r="J33" s="53">
        <f t="shared" si="15"/>
        <v>13.145</v>
      </c>
      <c r="K33" s="52">
        <f t="shared" si="15"/>
        <v>27.842500000000001</v>
      </c>
      <c r="L33" s="53">
        <f t="shared" si="15"/>
        <v>34.1875</v>
      </c>
      <c r="M33" s="52">
        <f t="shared" si="15"/>
        <v>255.22</v>
      </c>
      <c r="N33" s="54">
        <f t="shared" si="15"/>
        <v>284.67500000000001</v>
      </c>
    </row>
    <row r="34" spans="2:14" ht="16.5" customHeight="1" thickBot="1" x14ac:dyDescent="0.3">
      <c r="B34" s="233"/>
      <c r="C34" s="22"/>
      <c r="D34" s="13" t="s">
        <v>12</v>
      </c>
      <c r="E34" s="18"/>
      <c r="F34" s="43"/>
      <c r="G34" s="14">
        <f t="shared" ref="G34:N34" si="16">G33+G25+G17+G12</f>
        <v>50.317999999999998</v>
      </c>
      <c r="H34" s="33">
        <f t="shared" si="16"/>
        <v>62.858000000000004</v>
      </c>
      <c r="I34" s="14">
        <f t="shared" si="16"/>
        <v>40.126999999999995</v>
      </c>
      <c r="J34" s="33">
        <f t="shared" si="16"/>
        <v>48.14</v>
      </c>
      <c r="K34" s="14">
        <f t="shared" si="16"/>
        <v>156.86449999999999</v>
      </c>
      <c r="L34" s="33">
        <f t="shared" si="16"/>
        <v>197.66550000000001</v>
      </c>
      <c r="M34" s="14">
        <f t="shared" si="16"/>
        <v>1189.873</v>
      </c>
      <c r="N34" s="35">
        <f t="shared" si="16"/>
        <v>1475.3539999999998</v>
      </c>
    </row>
    <row r="37" spans="2:14" x14ac:dyDescent="0.25">
      <c r="F37" s="1"/>
    </row>
    <row r="40" spans="2:14" x14ac:dyDescent="0.25">
      <c r="D40" s="12" t="s">
        <v>22</v>
      </c>
    </row>
    <row r="45" spans="2:14" x14ac:dyDescent="0.25">
      <c r="J45" s="1"/>
    </row>
  </sheetData>
  <mergeCells count="17">
    <mergeCell ref="G4:L4"/>
    <mergeCell ref="C7:N7"/>
    <mergeCell ref="K5:L5"/>
    <mergeCell ref="I5:J5"/>
    <mergeCell ref="G5:H5"/>
    <mergeCell ref="M4:N5"/>
    <mergeCell ref="B3:E3"/>
    <mergeCell ref="B4:B6"/>
    <mergeCell ref="C4:C6"/>
    <mergeCell ref="D4:D6"/>
    <mergeCell ref="E4:F5"/>
    <mergeCell ref="B7:B34"/>
    <mergeCell ref="C18:N18"/>
    <mergeCell ref="C28:N28"/>
    <mergeCell ref="C15:N15"/>
    <mergeCell ref="C13:N13"/>
    <mergeCell ref="C26:N26"/>
  </mergeCells>
  <pageMargins left="0.7" right="0.7" top="0.75" bottom="0.75" header="0.3" footer="0.3"/>
  <pageSetup paperSize="9" scale="96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4.9989318521683403E-2"/>
  </sheetPr>
  <dimension ref="B2:W51"/>
  <sheetViews>
    <sheetView tabSelected="1" zoomScale="90" zoomScaleNormal="90" zoomScalePageLayoutView="80" workbookViewId="0">
      <selection activeCell="D34" sqref="D34:N34"/>
    </sheetView>
  </sheetViews>
  <sheetFormatPr defaultColWidth="9.140625" defaultRowHeight="15" x14ac:dyDescent="0.25"/>
  <cols>
    <col min="1" max="1" width="8.7109375" style="12" customWidth="1"/>
    <col min="2" max="2" width="2.7109375" style="12" customWidth="1"/>
    <col min="3" max="3" width="10.5703125" style="12" customWidth="1"/>
    <col min="4" max="4" width="39.28515625" style="12" customWidth="1"/>
    <col min="5" max="5" width="7.28515625" style="12" customWidth="1"/>
    <col min="6" max="6" width="9.5703125" style="12" customWidth="1"/>
    <col min="7" max="7" width="8.140625" style="12" customWidth="1"/>
    <col min="8" max="8" width="8.71093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10.140625" style="12" customWidth="1"/>
    <col min="15" max="15" width="9.28515625" style="12" customWidth="1"/>
    <col min="16" max="17" width="9.140625" style="12"/>
    <col min="18" max="18" width="19.7109375" style="12" customWidth="1"/>
    <col min="19" max="19" width="7.7109375" style="12" customWidth="1"/>
    <col min="20" max="20" width="9.140625" style="12"/>
    <col min="21" max="21" width="7.7109375" style="12" customWidth="1"/>
    <col min="22" max="16384" width="9.140625" style="12"/>
  </cols>
  <sheetData>
    <row r="2" spans="2:23" ht="16.5" customHeight="1" thickBot="1" x14ac:dyDescent="0.3">
      <c r="B2" s="194" t="s">
        <v>54</v>
      </c>
      <c r="C2" s="194"/>
      <c r="D2" s="194"/>
      <c r="E2" s="194"/>
      <c r="O2" s="2"/>
      <c r="P2" s="1"/>
      <c r="Q2" s="1"/>
      <c r="R2" s="2"/>
      <c r="S2" s="2"/>
      <c r="T2" s="1"/>
      <c r="U2" s="1"/>
      <c r="V2" s="1"/>
      <c r="W2" s="1"/>
    </row>
    <row r="3" spans="2:23" ht="15" customHeight="1" x14ac:dyDescent="0.25">
      <c r="B3" s="235" t="s">
        <v>38</v>
      </c>
      <c r="C3" s="203" t="s">
        <v>0</v>
      </c>
      <c r="D3" s="206" t="s">
        <v>1</v>
      </c>
      <c r="E3" s="238" t="s">
        <v>6</v>
      </c>
      <c r="F3" s="239"/>
      <c r="G3" s="242" t="s">
        <v>7</v>
      </c>
      <c r="H3" s="243"/>
      <c r="I3" s="243"/>
      <c r="J3" s="243"/>
      <c r="K3" s="243"/>
      <c r="L3" s="244"/>
      <c r="M3" s="249" t="s">
        <v>5</v>
      </c>
      <c r="N3" s="250"/>
      <c r="O3" s="1"/>
      <c r="P3" s="5"/>
      <c r="Q3" s="5"/>
      <c r="R3" s="1"/>
      <c r="S3" s="3"/>
      <c r="T3" s="5"/>
      <c r="U3" s="5"/>
      <c r="V3" s="5"/>
      <c r="W3" s="5"/>
    </row>
    <row r="4" spans="2:23" ht="15" customHeight="1" x14ac:dyDescent="0.25">
      <c r="B4" s="236"/>
      <c r="C4" s="204"/>
      <c r="D4" s="207"/>
      <c r="E4" s="240"/>
      <c r="F4" s="241"/>
      <c r="G4" s="245" t="s">
        <v>3</v>
      </c>
      <c r="H4" s="246"/>
      <c r="I4" s="247" t="s">
        <v>2</v>
      </c>
      <c r="J4" s="248"/>
      <c r="K4" s="245" t="s">
        <v>4</v>
      </c>
      <c r="L4" s="246"/>
      <c r="M4" s="251"/>
      <c r="N4" s="252"/>
      <c r="O4" s="1"/>
      <c r="P4" s="5"/>
      <c r="Q4" s="5"/>
      <c r="R4" s="1"/>
      <c r="S4" s="3"/>
      <c r="T4" s="5"/>
      <c r="U4" s="5"/>
      <c r="V4" s="5"/>
      <c r="W4" s="5"/>
    </row>
    <row r="5" spans="2:23" ht="21.75" customHeight="1" thickBot="1" x14ac:dyDescent="0.3">
      <c r="B5" s="237"/>
      <c r="C5" s="205"/>
      <c r="D5" s="208"/>
      <c r="E5" s="56" t="s">
        <v>86</v>
      </c>
      <c r="F5" s="57" t="s">
        <v>87</v>
      </c>
      <c r="G5" s="56" t="s">
        <v>86</v>
      </c>
      <c r="H5" s="58" t="s">
        <v>87</v>
      </c>
      <c r="I5" s="56" t="s">
        <v>86</v>
      </c>
      <c r="J5" s="58" t="s">
        <v>87</v>
      </c>
      <c r="K5" s="56" t="s">
        <v>86</v>
      </c>
      <c r="L5" s="58" t="s">
        <v>87</v>
      </c>
      <c r="M5" s="56" t="s">
        <v>86</v>
      </c>
      <c r="N5" s="59" t="s">
        <v>87</v>
      </c>
      <c r="O5" s="1"/>
      <c r="P5" s="5"/>
      <c r="Q5" s="5"/>
      <c r="R5" s="1"/>
      <c r="S5" s="3"/>
      <c r="T5" s="5"/>
      <c r="U5" s="5"/>
      <c r="V5" s="5"/>
      <c r="W5" s="5"/>
    </row>
    <row r="6" spans="2:23" ht="12.75" customHeight="1" x14ac:dyDescent="0.25">
      <c r="B6" s="216" t="s">
        <v>51</v>
      </c>
      <c r="C6" s="197" t="s">
        <v>8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</row>
    <row r="7" spans="2:23" ht="16.5" customHeight="1" x14ac:dyDescent="0.25">
      <c r="B7" s="217"/>
      <c r="C7" s="107" t="s">
        <v>57</v>
      </c>
      <c r="D7" s="40" t="s">
        <v>16</v>
      </c>
      <c r="E7" s="105">
        <v>140</v>
      </c>
      <c r="F7" s="25">
        <v>160</v>
      </c>
      <c r="G7" s="17">
        <f>E7*2.5/100</f>
        <v>3.5</v>
      </c>
      <c r="H7" s="27">
        <f>F7*2.5/100</f>
        <v>4</v>
      </c>
      <c r="I7" s="17">
        <f>E7*3.18/100</f>
        <v>4.4520000000000008</v>
      </c>
      <c r="J7" s="27">
        <f>F7*3.18/100</f>
        <v>5.0880000000000001</v>
      </c>
      <c r="K7" s="17">
        <f>E7*15.7/100</f>
        <v>21.98</v>
      </c>
      <c r="L7" s="27">
        <f>F7*15.7/100</f>
        <v>25.12</v>
      </c>
      <c r="M7" s="17">
        <f t="shared" ref="M7:N11" si="0">G7*4+I7*9+K7*4</f>
        <v>141.988</v>
      </c>
      <c r="N7" s="29">
        <f t="shared" si="0"/>
        <v>162.27199999999999</v>
      </c>
    </row>
    <row r="8" spans="2:23" ht="15" customHeight="1" x14ac:dyDescent="0.25">
      <c r="B8" s="217"/>
      <c r="C8" s="16" t="s">
        <v>211</v>
      </c>
      <c r="D8" s="92" t="s">
        <v>212</v>
      </c>
      <c r="E8" s="63">
        <v>25</v>
      </c>
      <c r="F8" s="60">
        <v>30</v>
      </c>
      <c r="G8" s="93">
        <f>E8*7.5/100</f>
        <v>1.875</v>
      </c>
      <c r="H8" s="37">
        <f>F8*7.5/100</f>
        <v>2.25</v>
      </c>
      <c r="I8" s="94">
        <f>E8*2.9/100</f>
        <v>0.72499999999999998</v>
      </c>
      <c r="J8" s="27">
        <f>F8*2.9/100</f>
        <v>0.87</v>
      </c>
      <c r="K8" s="94">
        <f>E8*51.4/100</f>
        <v>12.85</v>
      </c>
      <c r="L8" s="27">
        <f>F8*51.4/100</f>
        <v>15.42</v>
      </c>
      <c r="M8" s="94">
        <f t="shared" si="0"/>
        <v>65.424999999999997</v>
      </c>
      <c r="N8" s="29">
        <f t="shared" si="0"/>
        <v>78.509999999999991</v>
      </c>
    </row>
    <row r="9" spans="2:23" ht="15" customHeight="1" x14ac:dyDescent="0.25">
      <c r="B9" s="217"/>
      <c r="C9" s="46" t="s">
        <v>178</v>
      </c>
      <c r="D9" s="47" t="s">
        <v>179</v>
      </c>
      <c r="E9" s="105">
        <v>8</v>
      </c>
      <c r="F9" s="48">
        <v>10</v>
      </c>
      <c r="G9" s="17">
        <f>E9*0.8/100</f>
        <v>6.4000000000000001E-2</v>
      </c>
      <c r="H9" s="27">
        <f>F9*0.8/100</f>
        <v>0.08</v>
      </c>
      <c r="I9" s="17">
        <f>E9*72.5/100</f>
        <v>5.8</v>
      </c>
      <c r="J9" s="27">
        <f>F9*72.5/100</f>
        <v>7.25</v>
      </c>
      <c r="K9" s="17">
        <f>E9*1.3/100</f>
        <v>0.10400000000000001</v>
      </c>
      <c r="L9" s="27">
        <f>F9*1.3/100</f>
        <v>0.13</v>
      </c>
      <c r="M9" s="17">
        <f t="shared" si="0"/>
        <v>52.871999999999993</v>
      </c>
      <c r="N9" s="29">
        <f t="shared" si="0"/>
        <v>66.089999999999989</v>
      </c>
    </row>
    <row r="10" spans="2:23" ht="15.75" customHeight="1" x14ac:dyDescent="0.25">
      <c r="B10" s="217"/>
      <c r="C10" s="15" t="s">
        <v>91</v>
      </c>
      <c r="D10" s="9" t="s">
        <v>92</v>
      </c>
      <c r="E10" s="112">
        <v>180</v>
      </c>
      <c r="F10" s="25">
        <v>200</v>
      </c>
      <c r="G10" s="17">
        <f>E10*1.4/200</f>
        <v>1.2599999999999998</v>
      </c>
      <c r="H10" s="27">
        <f>F10*1.4/200</f>
        <v>1.4</v>
      </c>
      <c r="I10" s="17">
        <f>E10*1.2/200</f>
        <v>1.08</v>
      </c>
      <c r="J10" s="27">
        <f>F10*1.2/200</f>
        <v>1.2</v>
      </c>
      <c r="K10" s="17">
        <f>E10*11.4/200</f>
        <v>10.26</v>
      </c>
      <c r="L10" s="27">
        <f>F10*11.4/200</f>
        <v>11.4</v>
      </c>
      <c r="M10" s="17">
        <f t="shared" si="0"/>
        <v>55.8</v>
      </c>
      <c r="N10" s="29">
        <f t="shared" si="0"/>
        <v>62</v>
      </c>
    </row>
    <row r="11" spans="2:23" ht="15" customHeight="1" x14ac:dyDescent="0.25">
      <c r="B11" s="217"/>
      <c r="C11" s="23"/>
      <c r="D11" s="4" t="s">
        <v>13</v>
      </c>
      <c r="E11" s="21">
        <f>SUM(E7:E10)</f>
        <v>353</v>
      </c>
      <c r="F11" s="26">
        <f t="shared" ref="F11" si="1">SUM(F7:F10)</f>
        <v>400</v>
      </c>
      <c r="G11" s="7">
        <f>SUM(G7:G10)</f>
        <v>6.6989999999999998</v>
      </c>
      <c r="H11" s="28">
        <f t="shared" ref="H11:K11" si="2">SUM(H7:H10)</f>
        <v>7.73</v>
      </c>
      <c r="I11" s="7">
        <f t="shared" si="2"/>
        <v>12.057</v>
      </c>
      <c r="J11" s="28">
        <f t="shared" si="2"/>
        <v>14.407999999999999</v>
      </c>
      <c r="K11" s="7">
        <f t="shared" si="2"/>
        <v>45.193999999999996</v>
      </c>
      <c r="L11" s="28">
        <f>SUM(L7:L10)</f>
        <v>52.07</v>
      </c>
      <c r="M11" s="7">
        <f>G11*4+I11*9+K11*4</f>
        <v>316.08499999999998</v>
      </c>
      <c r="N11" s="30">
        <f t="shared" si="0"/>
        <v>368.87199999999996</v>
      </c>
    </row>
    <row r="12" spans="2:23" x14ac:dyDescent="0.25">
      <c r="B12" s="217"/>
      <c r="C12" s="200" t="s">
        <v>83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2"/>
    </row>
    <row r="13" spans="2:23" ht="15" customHeight="1" x14ac:dyDescent="0.25">
      <c r="B13" s="217"/>
      <c r="C13" s="16" t="s">
        <v>172</v>
      </c>
      <c r="D13" s="6" t="s">
        <v>173</v>
      </c>
      <c r="E13" s="112">
        <v>100</v>
      </c>
      <c r="F13" s="25">
        <v>100</v>
      </c>
      <c r="G13" s="17">
        <f>E13*0.5/100</f>
        <v>0.5</v>
      </c>
      <c r="H13" s="27">
        <f>F13*0.5/100</f>
        <v>0.5</v>
      </c>
      <c r="I13" s="17">
        <f>E13*0.1/100</f>
        <v>0.1</v>
      </c>
      <c r="J13" s="27">
        <f>F13*0.1/100</f>
        <v>0.1</v>
      </c>
      <c r="K13" s="17">
        <f>E13*10.1/100</f>
        <v>10.1</v>
      </c>
      <c r="L13" s="27">
        <f>F13*10.1/100</f>
        <v>10.1</v>
      </c>
      <c r="M13" s="17">
        <f t="shared" ref="M13:N14" si="3">G13*4+I13*9+K13*4</f>
        <v>43.3</v>
      </c>
      <c r="N13" s="29">
        <f t="shared" si="3"/>
        <v>43.3</v>
      </c>
    </row>
    <row r="14" spans="2:23" ht="15" customHeight="1" x14ac:dyDescent="0.25">
      <c r="B14" s="217"/>
      <c r="C14" s="15" t="s">
        <v>35</v>
      </c>
      <c r="D14" s="9" t="s">
        <v>213</v>
      </c>
      <c r="E14" s="112">
        <v>30</v>
      </c>
      <c r="F14" s="25">
        <v>30</v>
      </c>
      <c r="G14" s="17">
        <f>E14*7.7/100</f>
        <v>2.31</v>
      </c>
      <c r="H14" s="27">
        <f>F14*7.7/100</f>
        <v>2.31</v>
      </c>
      <c r="I14" s="17">
        <f>E14*16.1/100</f>
        <v>4.830000000000001</v>
      </c>
      <c r="J14" s="27">
        <f>F14*16.1/100</f>
        <v>4.830000000000001</v>
      </c>
      <c r="K14" s="17">
        <f>E14*68.7/100</f>
        <v>20.61</v>
      </c>
      <c r="L14" s="27">
        <f>F14*68.7/100</f>
        <v>20.61</v>
      </c>
      <c r="M14" s="17">
        <f t="shared" si="3"/>
        <v>135.15</v>
      </c>
      <c r="N14" s="29">
        <f t="shared" si="3"/>
        <v>135.15</v>
      </c>
    </row>
    <row r="15" spans="2:23" x14ac:dyDescent="0.25">
      <c r="B15" s="217"/>
      <c r="C15" s="15"/>
      <c r="D15" s="4" t="s">
        <v>84</v>
      </c>
      <c r="E15" s="21">
        <f>SUM(E13:E14)</f>
        <v>130</v>
      </c>
      <c r="F15" s="113">
        <f t="shared" ref="F15:N15" si="4">SUM(F13:F14)</f>
        <v>130</v>
      </c>
      <c r="G15" s="21">
        <f t="shared" si="4"/>
        <v>2.81</v>
      </c>
      <c r="H15" s="113">
        <f t="shared" si="4"/>
        <v>2.81</v>
      </c>
      <c r="I15" s="7">
        <f>SUM(I13:I14)</f>
        <v>4.9300000000000006</v>
      </c>
      <c r="J15" s="113">
        <f t="shared" si="4"/>
        <v>4.9300000000000006</v>
      </c>
      <c r="K15" s="21">
        <f t="shared" si="4"/>
        <v>30.71</v>
      </c>
      <c r="L15" s="113">
        <f t="shared" si="4"/>
        <v>30.71</v>
      </c>
      <c r="M15" s="21">
        <f t="shared" si="4"/>
        <v>178.45</v>
      </c>
      <c r="N15" s="95">
        <f t="shared" si="4"/>
        <v>178.45</v>
      </c>
    </row>
    <row r="16" spans="2:23" x14ac:dyDescent="0.25">
      <c r="B16" s="217"/>
      <c r="C16" s="200" t="s">
        <v>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2:15" x14ac:dyDescent="0.25">
      <c r="B17" s="217"/>
      <c r="C17" s="15" t="s">
        <v>251</v>
      </c>
      <c r="D17" s="9" t="s">
        <v>252</v>
      </c>
      <c r="E17" s="108">
        <v>30</v>
      </c>
      <c r="F17" s="31">
        <v>50</v>
      </c>
      <c r="G17" s="17">
        <f>E17*2.4/100</f>
        <v>0.72</v>
      </c>
      <c r="H17" s="27">
        <f>F17*2.4/100</f>
        <v>1.2</v>
      </c>
      <c r="I17" s="17">
        <f>E17*7.6/100</f>
        <v>2.2799999999999998</v>
      </c>
      <c r="J17" s="27">
        <f>F17*7.6/100</f>
        <v>3.8</v>
      </c>
      <c r="K17" s="17">
        <f>E17*13/100</f>
        <v>3.9</v>
      </c>
      <c r="L17" s="27">
        <f>F17*13/100</f>
        <v>6.5</v>
      </c>
      <c r="M17" s="19">
        <f t="shared" ref="M17:N19" si="5">G17*4+I17*9+K17*4</f>
        <v>39</v>
      </c>
      <c r="N17" s="34">
        <f t="shared" si="5"/>
        <v>65</v>
      </c>
    </row>
    <row r="18" spans="2:15" x14ac:dyDescent="0.25">
      <c r="B18" s="217"/>
      <c r="C18" s="44" t="s">
        <v>221</v>
      </c>
      <c r="D18" s="8" t="s">
        <v>222</v>
      </c>
      <c r="E18" s="111">
        <v>150</v>
      </c>
      <c r="F18" s="36">
        <v>180</v>
      </c>
      <c r="G18" s="17">
        <f>E18*1.11/100</f>
        <v>1.6650000000000003</v>
      </c>
      <c r="H18" s="27">
        <f>F18*1.11/100</f>
        <v>1.9980000000000002</v>
      </c>
      <c r="I18" s="17">
        <f>E18*1.41/100</f>
        <v>2.1150000000000002</v>
      </c>
      <c r="J18" s="27">
        <f>F18*1.41/100</f>
        <v>2.5379999999999998</v>
      </c>
      <c r="K18" s="17">
        <f>E18*3.92/100</f>
        <v>5.88</v>
      </c>
      <c r="L18" s="27">
        <f>F18*3.92/100</f>
        <v>7.056</v>
      </c>
      <c r="M18" s="19">
        <f t="shared" si="5"/>
        <v>49.215000000000003</v>
      </c>
      <c r="N18" s="34">
        <f t="shared" si="5"/>
        <v>59.058</v>
      </c>
    </row>
    <row r="19" spans="2:15" x14ac:dyDescent="0.25">
      <c r="B19" s="217"/>
      <c r="C19" s="15" t="s">
        <v>274</v>
      </c>
      <c r="D19" s="8" t="s">
        <v>275</v>
      </c>
      <c r="E19" s="119">
        <v>150</v>
      </c>
      <c r="F19" s="25">
        <v>200</v>
      </c>
      <c r="G19" s="17">
        <f>E19*10/100</f>
        <v>15</v>
      </c>
      <c r="H19" s="27">
        <f>F19*10/100</f>
        <v>20</v>
      </c>
      <c r="I19" s="17">
        <f>E19*9.8/100</f>
        <v>14.7</v>
      </c>
      <c r="J19" s="27">
        <f>F19*9.8/100</f>
        <v>19.600000000000001</v>
      </c>
      <c r="K19" s="17">
        <f>E19*16.5/100</f>
        <v>24.75</v>
      </c>
      <c r="L19" s="27">
        <f>F19*16.5/100</f>
        <v>33</v>
      </c>
      <c r="M19" s="17">
        <f t="shared" si="5"/>
        <v>291.29999999999995</v>
      </c>
      <c r="N19" s="29">
        <f t="shared" si="5"/>
        <v>388.4</v>
      </c>
    </row>
    <row r="20" spans="2:15" x14ac:dyDescent="0.25">
      <c r="B20" s="217"/>
      <c r="C20" s="15" t="s">
        <v>52</v>
      </c>
      <c r="D20" s="9" t="s">
        <v>53</v>
      </c>
      <c r="E20" s="105">
        <v>150</v>
      </c>
      <c r="F20" s="25">
        <v>180</v>
      </c>
      <c r="G20" s="17">
        <f>E20*0.6/200</f>
        <v>0.45</v>
      </c>
      <c r="H20" s="27">
        <f>F20*0.6/200</f>
        <v>0.54</v>
      </c>
      <c r="I20" s="17">
        <f>E20*0.1/200</f>
        <v>7.4999999999999997E-2</v>
      </c>
      <c r="J20" s="27">
        <f>F20*0.1/200</f>
        <v>0.09</v>
      </c>
      <c r="K20" s="17">
        <f>E20*20.1/200</f>
        <v>15.074999999999999</v>
      </c>
      <c r="L20" s="27">
        <f>F20*20.1/200</f>
        <v>18.090000000000003</v>
      </c>
      <c r="M20" s="17">
        <f t="shared" ref="M20:N22" si="6">G20*4+I20*9+K20*4</f>
        <v>62.774999999999999</v>
      </c>
      <c r="N20" s="29">
        <f t="shared" si="6"/>
        <v>75.330000000000013</v>
      </c>
    </row>
    <row r="21" spans="2:15" x14ac:dyDescent="0.25">
      <c r="B21" s="217"/>
      <c r="C21" s="16" t="s">
        <v>165</v>
      </c>
      <c r="D21" s="6" t="s">
        <v>21</v>
      </c>
      <c r="E21" s="63">
        <v>25</v>
      </c>
      <c r="F21" s="60">
        <v>30</v>
      </c>
      <c r="G21" s="17">
        <f>E21*8/100</f>
        <v>2</v>
      </c>
      <c r="H21" s="27">
        <f>F21*8/100</f>
        <v>2.4</v>
      </c>
      <c r="I21" s="17">
        <f>E21*1.5/100</f>
        <v>0.375</v>
      </c>
      <c r="J21" s="27">
        <f>F21*1.5/100</f>
        <v>0.45</v>
      </c>
      <c r="K21" s="17">
        <f>E21*40.1/100</f>
        <v>10.025</v>
      </c>
      <c r="L21" s="27">
        <f>F21*40.1/100</f>
        <v>12.03</v>
      </c>
      <c r="M21" s="17">
        <f t="shared" si="6"/>
        <v>51.475000000000001</v>
      </c>
      <c r="N21" s="29">
        <f t="shared" si="6"/>
        <v>61.769999999999996</v>
      </c>
    </row>
    <row r="22" spans="2:15" ht="15" customHeight="1" x14ac:dyDescent="0.25">
      <c r="B22" s="217"/>
      <c r="C22" s="16" t="s">
        <v>163</v>
      </c>
      <c r="D22" s="6" t="s">
        <v>164</v>
      </c>
      <c r="E22" s="63">
        <v>25</v>
      </c>
      <c r="F22" s="60">
        <v>30</v>
      </c>
      <c r="G22" s="17">
        <f>E22*7.6/100</f>
        <v>1.9</v>
      </c>
      <c r="H22" s="27">
        <f>F22*7.6/100</f>
        <v>2.2799999999999998</v>
      </c>
      <c r="I22" s="17">
        <f>E22*0.8/100</f>
        <v>0.2</v>
      </c>
      <c r="J22" s="27">
        <f>F22*0.8/100</f>
        <v>0.24</v>
      </c>
      <c r="K22" s="17">
        <f>E22*49.2/100</f>
        <v>12.3</v>
      </c>
      <c r="L22" s="27">
        <f>F22*49.2/100</f>
        <v>14.76</v>
      </c>
      <c r="M22" s="17">
        <f t="shared" si="6"/>
        <v>58.6</v>
      </c>
      <c r="N22" s="29">
        <f t="shared" si="6"/>
        <v>70.319999999999993</v>
      </c>
    </row>
    <row r="23" spans="2:15" ht="15" customHeight="1" x14ac:dyDescent="0.25">
      <c r="B23" s="217"/>
      <c r="C23" s="16"/>
      <c r="D23" s="4" t="s">
        <v>14</v>
      </c>
      <c r="E23" s="21">
        <f t="shared" ref="E23:N23" si="7">SUM(E17:E22)</f>
        <v>530</v>
      </c>
      <c r="F23" s="32">
        <f t="shared" si="7"/>
        <v>670</v>
      </c>
      <c r="G23" s="7">
        <f t="shared" si="7"/>
        <v>21.734999999999999</v>
      </c>
      <c r="H23" s="28">
        <f t="shared" si="7"/>
        <v>28.417999999999999</v>
      </c>
      <c r="I23" s="7">
        <f t="shared" si="7"/>
        <v>19.744999999999997</v>
      </c>
      <c r="J23" s="28">
        <f t="shared" si="7"/>
        <v>26.718</v>
      </c>
      <c r="K23" s="7">
        <f t="shared" si="7"/>
        <v>71.930000000000007</v>
      </c>
      <c r="L23" s="28">
        <f t="shared" si="7"/>
        <v>91.436000000000007</v>
      </c>
      <c r="M23" s="7">
        <f t="shared" si="7"/>
        <v>552.36500000000001</v>
      </c>
      <c r="N23" s="30">
        <f t="shared" si="7"/>
        <v>719.87799999999993</v>
      </c>
    </row>
    <row r="24" spans="2:15" ht="15" customHeight="1" x14ac:dyDescent="0.25">
      <c r="B24" s="217"/>
      <c r="C24" s="213" t="s">
        <v>88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</row>
    <row r="25" spans="2:15" ht="15" customHeight="1" x14ac:dyDescent="0.25">
      <c r="B25" s="217"/>
      <c r="C25" s="15" t="s">
        <v>231</v>
      </c>
      <c r="D25" s="8" t="s">
        <v>232</v>
      </c>
      <c r="E25" s="105">
        <v>60</v>
      </c>
      <c r="F25" s="24">
        <v>70</v>
      </c>
      <c r="G25" s="17">
        <f>E25*29.6/100</f>
        <v>17.760000000000002</v>
      </c>
      <c r="H25" s="27">
        <f>F25*29.6/100</f>
        <v>20.72</v>
      </c>
      <c r="I25" s="17">
        <f>E25*7.8/100</f>
        <v>4.68</v>
      </c>
      <c r="J25" s="27">
        <f>F25*7.8/100</f>
        <v>5.46</v>
      </c>
      <c r="K25" s="17">
        <f>E25*31.9/100</f>
        <v>19.14</v>
      </c>
      <c r="L25" s="27">
        <f>F25*31.9/100</f>
        <v>22.33</v>
      </c>
      <c r="M25" s="17">
        <f t="shared" ref="M25:N27" si="8">G25*4+I25*9+K25*4</f>
        <v>189.72</v>
      </c>
      <c r="N25" s="29">
        <f t="shared" si="8"/>
        <v>221.33999999999997</v>
      </c>
    </row>
    <row r="26" spans="2:15" ht="15" customHeight="1" x14ac:dyDescent="0.25">
      <c r="B26" s="217"/>
      <c r="C26" s="16" t="s">
        <v>35</v>
      </c>
      <c r="D26" s="118" t="s">
        <v>90</v>
      </c>
      <c r="E26" s="112">
        <v>10</v>
      </c>
      <c r="F26" s="48">
        <v>10</v>
      </c>
      <c r="G26" s="20">
        <f>E26*0/10</f>
        <v>0</v>
      </c>
      <c r="H26" s="61">
        <f>F26*0/10</f>
        <v>0</v>
      </c>
      <c r="I26" s="20">
        <f>E26*0/10</f>
        <v>0</v>
      </c>
      <c r="J26" s="61">
        <f>F26*0/10</f>
        <v>0</v>
      </c>
      <c r="K26" s="17">
        <f>E26*61/100</f>
        <v>6.1</v>
      </c>
      <c r="L26" s="27">
        <f>F26*61/100</f>
        <v>6.1</v>
      </c>
      <c r="M26" s="17">
        <f t="shared" si="8"/>
        <v>24.4</v>
      </c>
      <c r="N26" s="29">
        <f t="shared" si="8"/>
        <v>24.4</v>
      </c>
    </row>
    <row r="27" spans="2:15" ht="15" customHeight="1" x14ac:dyDescent="0.25">
      <c r="B27" s="217"/>
      <c r="C27" s="15" t="s">
        <v>47</v>
      </c>
      <c r="D27" s="9" t="s">
        <v>15</v>
      </c>
      <c r="E27" s="112">
        <v>150</v>
      </c>
      <c r="F27" s="25">
        <v>180</v>
      </c>
      <c r="G27" s="17">
        <f>E27*0.2/200</f>
        <v>0.15</v>
      </c>
      <c r="H27" s="27">
        <f>F27*0.2/200</f>
        <v>0.18</v>
      </c>
      <c r="I27" s="17">
        <f t="shared" ref="I27:J27" si="9">E27*0.1/200</f>
        <v>7.4999999999999997E-2</v>
      </c>
      <c r="J27" s="27">
        <f t="shared" si="9"/>
        <v>0.09</v>
      </c>
      <c r="K27" s="17">
        <f>E27*9.3/200</f>
        <v>6.9749999999999996</v>
      </c>
      <c r="L27" s="27">
        <f>F27*9.3/200</f>
        <v>8.370000000000001</v>
      </c>
      <c r="M27" s="17">
        <f t="shared" si="8"/>
        <v>29.174999999999997</v>
      </c>
      <c r="N27" s="29">
        <f t="shared" si="8"/>
        <v>35.010000000000005</v>
      </c>
    </row>
    <row r="28" spans="2:15" ht="15" customHeight="1" x14ac:dyDescent="0.25">
      <c r="B28" s="217"/>
      <c r="C28" s="42"/>
      <c r="D28" s="49" t="s">
        <v>85</v>
      </c>
      <c r="E28" s="50">
        <f t="shared" ref="E28:N28" si="10">SUM(E25:E27)</f>
        <v>220</v>
      </c>
      <c r="F28" s="51">
        <f t="shared" si="10"/>
        <v>260</v>
      </c>
      <c r="G28" s="52">
        <f t="shared" si="10"/>
        <v>17.91</v>
      </c>
      <c r="H28" s="53">
        <f t="shared" si="10"/>
        <v>20.9</v>
      </c>
      <c r="I28" s="52">
        <f t="shared" si="10"/>
        <v>4.7549999999999999</v>
      </c>
      <c r="J28" s="53">
        <f t="shared" si="10"/>
        <v>5.55</v>
      </c>
      <c r="K28" s="52">
        <f t="shared" si="10"/>
        <v>32.215000000000003</v>
      </c>
      <c r="L28" s="53">
        <f t="shared" si="10"/>
        <v>36.799999999999997</v>
      </c>
      <c r="M28" s="52">
        <f t="shared" si="10"/>
        <v>243.29500000000002</v>
      </c>
      <c r="N28" s="54">
        <f t="shared" si="10"/>
        <v>280.75</v>
      </c>
    </row>
    <row r="29" spans="2:15" ht="15" customHeight="1" thickBot="1" x14ac:dyDescent="0.3">
      <c r="B29" s="218"/>
      <c r="C29" s="22"/>
      <c r="D29" s="13" t="s">
        <v>12</v>
      </c>
      <c r="E29" s="18"/>
      <c r="F29" s="43"/>
      <c r="G29" s="14">
        <f t="shared" ref="G29:N29" si="11">G28+G23+G15+G11</f>
        <v>49.153999999999996</v>
      </c>
      <c r="H29" s="33">
        <f>H28+H23+H15+H11</f>
        <v>59.858000000000004</v>
      </c>
      <c r="I29" s="14">
        <f t="shared" si="11"/>
        <v>41.486999999999995</v>
      </c>
      <c r="J29" s="33">
        <f t="shared" si="11"/>
        <v>51.606000000000002</v>
      </c>
      <c r="K29" s="14">
        <f t="shared" si="11"/>
        <v>180.04900000000001</v>
      </c>
      <c r="L29" s="33">
        <f t="shared" si="11"/>
        <v>211.01599999999999</v>
      </c>
      <c r="M29" s="14">
        <f t="shared" si="11"/>
        <v>1290.1950000000002</v>
      </c>
      <c r="N29" s="35">
        <f t="shared" si="11"/>
        <v>1547.9499999999998</v>
      </c>
    </row>
    <row r="30" spans="2:15" ht="17.25" customHeight="1" thickBot="1" x14ac:dyDescent="0.3">
      <c r="B30" s="266" t="s">
        <v>64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  <c r="O30" s="1"/>
    </row>
    <row r="31" spans="2:15" ht="15" customHeight="1" x14ac:dyDescent="0.25">
      <c r="B31" s="269" t="s">
        <v>23</v>
      </c>
      <c r="C31" s="270"/>
      <c r="D31" s="271" t="s">
        <v>24</v>
      </c>
      <c r="E31" s="271"/>
      <c r="F31" s="271"/>
      <c r="G31" s="271"/>
      <c r="H31" s="271"/>
      <c r="I31" s="271"/>
      <c r="J31" s="271"/>
      <c r="K31" s="271"/>
      <c r="L31" s="271"/>
      <c r="M31" s="271"/>
      <c r="N31" s="272"/>
    </row>
    <row r="32" spans="2:15" ht="15.75" customHeight="1" x14ac:dyDescent="0.25">
      <c r="B32" s="253"/>
      <c r="C32" s="254"/>
      <c r="D32" s="257" t="s">
        <v>34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8"/>
    </row>
    <row r="33" spans="2:14" ht="12" customHeight="1" x14ac:dyDescent="0.25">
      <c r="B33" s="253" t="s">
        <v>25</v>
      </c>
      <c r="C33" s="254"/>
      <c r="D33" s="255" t="s">
        <v>26</v>
      </c>
      <c r="E33" s="255"/>
      <c r="F33" s="255"/>
      <c r="G33" s="255"/>
      <c r="H33" s="255"/>
      <c r="I33" s="255"/>
      <c r="J33" s="255"/>
      <c r="K33" s="255"/>
      <c r="L33" s="255"/>
      <c r="M33" s="255"/>
      <c r="N33" s="256"/>
    </row>
    <row r="34" spans="2:14" x14ac:dyDescent="0.25">
      <c r="B34" s="253"/>
      <c r="C34" s="254"/>
      <c r="D34" s="257" t="s">
        <v>27</v>
      </c>
      <c r="E34" s="257"/>
      <c r="F34" s="257"/>
      <c r="G34" s="257"/>
      <c r="H34" s="257"/>
      <c r="I34" s="257"/>
      <c r="J34" s="257"/>
      <c r="K34" s="257"/>
      <c r="L34" s="257"/>
      <c r="M34" s="257"/>
      <c r="N34" s="258"/>
    </row>
    <row r="35" spans="2:14" x14ac:dyDescent="0.25">
      <c r="B35" s="253" t="s">
        <v>28</v>
      </c>
      <c r="C35" s="254"/>
      <c r="D35" s="255" t="s">
        <v>26</v>
      </c>
      <c r="E35" s="255"/>
      <c r="F35" s="255"/>
      <c r="G35" s="255"/>
      <c r="H35" s="255"/>
      <c r="I35" s="255"/>
      <c r="J35" s="255"/>
      <c r="K35" s="255"/>
      <c r="L35" s="255"/>
      <c r="M35" s="255"/>
      <c r="N35" s="256"/>
    </row>
    <row r="36" spans="2:14" x14ac:dyDescent="0.25">
      <c r="B36" s="253"/>
      <c r="C36" s="254"/>
      <c r="D36" s="257" t="s">
        <v>29</v>
      </c>
      <c r="E36" s="257"/>
      <c r="F36" s="257"/>
      <c r="G36" s="257"/>
      <c r="H36" s="257"/>
      <c r="I36" s="257"/>
      <c r="J36" s="257"/>
      <c r="K36" s="257"/>
      <c r="L36" s="257"/>
      <c r="M36" s="257"/>
      <c r="N36" s="258"/>
    </row>
    <row r="37" spans="2:14" x14ac:dyDescent="0.25">
      <c r="B37" s="253" t="s">
        <v>31</v>
      </c>
      <c r="C37" s="254"/>
      <c r="D37" s="261" t="s">
        <v>32</v>
      </c>
      <c r="E37" s="262"/>
      <c r="F37" s="262"/>
      <c r="G37" s="262"/>
      <c r="H37" s="262"/>
      <c r="I37" s="262"/>
      <c r="J37" s="262"/>
      <c r="K37" s="262"/>
      <c r="L37" s="262"/>
      <c r="M37" s="262"/>
      <c r="N37" s="263"/>
    </row>
    <row r="38" spans="2:14" ht="15.75" thickBot="1" x14ac:dyDescent="0.3">
      <c r="B38" s="259"/>
      <c r="C38" s="260"/>
      <c r="D38" s="264" t="s">
        <v>33</v>
      </c>
      <c r="E38" s="264"/>
      <c r="F38" s="264"/>
      <c r="G38" s="264"/>
      <c r="H38" s="264"/>
      <c r="I38" s="264"/>
      <c r="J38" s="264"/>
      <c r="K38" s="264"/>
      <c r="L38" s="264"/>
      <c r="M38" s="264"/>
      <c r="N38" s="265"/>
    </row>
    <row r="43" spans="2:14" x14ac:dyDescent="0.25">
      <c r="F43" s="1"/>
    </row>
    <row r="51" spans="10:10" x14ac:dyDescent="0.25">
      <c r="J51" s="1"/>
    </row>
  </sheetData>
  <mergeCells count="28">
    <mergeCell ref="M3:N4"/>
    <mergeCell ref="G4:H4"/>
    <mergeCell ref="I4:J4"/>
    <mergeCell ref="K4:L4"/>
    <mergeCell ref="B2:E2"/>
    <mergeCell ref="B3:B5"/>
    <mergeCell ref="C3:C5"/>
    <mergeCell ref="D3:D5"/>
    <mergeCell ref="E3:F4"/>
    <mergeCell ref="G3:L3"/>
    <mergeCell ref="B6:B29"/>
    <mergeCell ref="C6:N6"/>
    <mergeCell ref="C12:N12"/>
    <mergeCell ref="C16:N16"/>
    <mergeCell ref="C24:N24"/>
    <mergeCell ref="B30:N30"/>
    <mergeCell ref="B31:C32"/>
    <mergeCell ref="D31:N31"/>
    <mergeCell ref="D32:N32"/>
    <mergeCell ref="B33:C34"/>
    <mergeCell ref="D33:N33"/>
    <mergeCell ref="D34:N34"/>
    <mergeCell ref="B35:C36"/>
    <mergeCell ref="D35:N35"/>
    <mergeCell ref="D36:N36"/>
    <mergeCell ref="B37:C38"/>
    <mergeCell ref="D37:N37"/>
    <mergeCell ref="D38:N38"/>
  </mergeCells>
  <pageMargins left="0.70866141732283472" right="0.70866141732283472" top="0.55118110236220474" bottom="0.74803149606299213" header="0.31496062992125984" footer="0.31496062992125984"/>
  <pageSetup paperSize="9" scale="85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</sheetPr>
  <dimension ref="A1:Z58"/>
  <sheetViews>
    <sheetView zoomScale="90" zoomScaleNormal="90" zoomScalePageLayoutView="80" workbookViewId="0">
      <selection activeCell="D44" sqref="D44:N44"/>
    </sheetView>
  </sheetViews>
  <sheetFormatPr defaultColWidth="9.140625" defaultRowHeight="15" x14ac:dyDescent="0.25"/>
  <cols>
    <col min="1" max="1" width="9.28515625" style="11" customWidth="1"/>
    <col min="2" max="2" width="2.7109375" style="11" customWidth="1"/>
    <col min="3" max="3" width="10.5703125" style="10" customWidth="1"/>
    <col min="4" max="4" width="35.28515625" style="10" customWidth="1"/>
    <col min="5" max="6" width="7.28515625" style="10" customWidth="1"/>
    <col min="7" max="7" width="6.7109375" style="10" customWidth="1"/>
    <col min="8" max="8" width="6.85546875" style="10" customWidth="1"/>
    <col min="9" max="9" width="6.42578125" style="10" customWidth="1"/>
    <col min="10" max="10" width="6.5703125" style="10" customWidth="1"/>
    <col min="11" max="11" width="7.5703125" style="10" customWidth="1"/>
    <col min="12" max="12" width="7.42578125" style="10" customWidth="1"/>
    <col min="13" max="13" width="8.5703125" style="10" customWidth="1"/>
    <col min="14" max="14" width="9.42578125" style="10" customWidth="1"/>
    <col min="15" max="15" width="8.28515625" style="10" customWidth="1"/>
    <col min="16" max="16" width="7.28515625" style="10" customWidth="1"/>
    <col min="17" max="20" width="9.140625" style="10"/>
    <col min="21" max="21" width="19.7109375" style="10" customWidth="1"/>
    <col min="22" max="22" width="7.7109375" style="10" customWidth="1"/>
    <col min="23" max="23" width="9.140625" style="10"/>
    <col min="24" max="24" width="7.7109375" style="10" customWidth="1"/>
    <col min="25" max="16384" width="9.140625" style="10"/>
  </cols>
  <sheetData>
    <row r="1" spans="2:26" s="11" customFormat="1" ht="18.75" x14ac:dyDescent="0.3">
      <c r="C1" s="193" t="s">
        <v>40</v>
      </c>
      <c r="D1" s="193"/>
      <c r="E1" s="193"/>
      <c r="F1" s="193"/>
      <c r="G1" s="193"/>
      <c r="H1" s="66"/>
      <c r="I1" s="193" t="s">
        <v>41</v>
      </c>
      <c r="J1" s="193"/>
      <c r="K1" s="193"/>
      <c r="L1" s="193"/>
      <c r="M1" s="193"/>
    </row>
    <row r="2" spans="2:26" s="62" customFormat="1" ht="15" customHeight="1" x14ac:dyDescent="0.25">
      <c r="C2" s="67" t="s">
        <v>42</v>
      </c>
      <c r="D2" s="67"/>
      <c r="E2" s="67"/>
      <c r="F2" s="65"/>
      <c r="G2" s="67"/>
      <c r="H2" s="67"/>
      <c r="I2" s="192" t="s">
        <v>208</v>
      </c>
      <c r="J2" s="192"/>
      <c r="K2" s="192"/>
      <c r="L2" s="192"/>
      <c r="M2" s="192"/>
      <c r="N2" s="192"/>
      <c r="O2" s="192"/>
    </row>
    <row r="3" spans="2:26" s="62" customFormat="1" ht="15" customHeight="1" x14ac:dyDescent="0.25">
      <c r="C3" s="192" t="s">
        <v>43</v>
      </c>
      <c r="D3" s="192"/>
      <c r="E3" s="192"/>
      <c r="F3" s="192"/>
      <c r="G3" s="67"/>
      <c r="H3" s="67"/>
      <c r="I3" s="192" t="s">
        <v>209</v>
      </c>
      <c r="J3" s="192"/>
      <c r="K3" s="192"/>
      <c r="L3" s="192"/>
      <c r="M3" s="192"/>
      <c r="N3" s="67"/>
    </row>
    <row r="4" spans="2:26" s="11" customFormat="1" ht="17.25" customHeight="1" x14ac:dyDescent="0.25"/>
    <row r="5" spans="2:26" s="12" customFormat="1" ht="13.5" customHeight="1" x14ac:dyDescent="0.25"/>
    <row r="6" spans="2:26" s="11" customFormat="1" x14ac:dyDescent="0.25"/>
    <row r="7" spans="2:26" s="11" customFormat="1" ht="15.75" x14ac:dyDescent="0.25">
      <c r="D7" s="195" t="s">
        <v>44</v>
      </c>
      <c r="E7" s="195"/>
      <c r="F7" s="195"/>
      <c r="G7" s="195"/>
      <c r="H7" s="195"/>
      <c r="I7" s="195"/>
      <c r="J7" s="195"/>
      <c r="K7" s="195"/>
      <c r="L7" s="195"/>
      <c r="M7" s="195"/>
    </row>
    <row r="8" spans="2:26" s="11" customFormat="1" ht="15.75" x14ac:dyDescent="0.25">
      <c r="D8" s="195" t="s">
        <v>114</v>
      </c>
      <c r="E8" s="195"/>
      <c r="F8" s="195"/>
      <c r="G8" s="195"/>
      <c r="H8" s="195"/>
      <c r="I8" s="195"/>
      <c r="J8" s="195"/>
      <c r="K8" s="195"/>
      <c r="L8" s="195"/>
      <c r="M8" s="195"/>
    </row>
    <row r="9" spans="2:26" s="11" customFormat="1" ht="15.75" x14ac:dyDescent="0.25">
      <c r="D9" s="195" t="s">
        <v>210</v>
      </c>
      <c r="E9" s="195"/>
      <c r="F9" s="195"/>
      <c r="G9" s="195"/>
      <c r="H9" s="195"/>
      <c r="I9" s="195"/>
      <c r="J9" s="195"/>
      <c r="K9" s="195"/>
      <c r="L9" s="195"/>
      <c r="M9" s="195"/>
    </row>
    <row r="10" spans="2:26" ht="15.75" x14ac:dyDescent="0.25">
      <c r="C10" s="11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15" customHeight="1" thickBot="1" x14ac:dyDescent="0.3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"/>
      <c r="P11" s="2"/>
      <c r="Q11" s="1"/>
      <c r="R11" s="1"/>
      <c r="S11" s="1"/>
      <c r="T11" s="1"/>
      <c r="U11" s="2"/>
      <c r="V11" s="2"/>
      <c r="W11" s="1"/>
      <c r="X11" s="1"/>
      <c r="Y11" s="1"/>
      <c r="Z11" s="1"/>
    </row>
    <row r="12" spans="2:26" ht="15" customHeight="1" x14ac:dyDescent="0.25">
      <c r="B12" s="219" t="s">
        <v>38</v>
      </c>
      <c r="C12" s="203" t="s">
        <v>0</v>
      </c>
      <c r="D12" s="206" t="s">
        <v>1</v>
      </c>
      <c r="E12" s="209" t="s">
        <v>6</v>
      </c>
      <c r="F12" s="210"/>
      <c r="G12" s="222" t="s">
        <v>7</v>
      </c>
      <c r="H12" s="222"/>
      <c r="I12" s="222"/>
      <c r="J12" s="222"/>
      <c r="K12" s="222"/>
      <c r="L12" s="222"/>
      <c r="M12" s="223" t="s">
        <v>5</v>
      </c>
      <c r="N12" s="224"/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220"/>
      <c r="C13" s="204"/>
      <c r="D13" s="207"/>
      <c r="E13" s="211"/>
      <c r="F13" s="212"/>
      <c r="G13" s="227" t="s">
        <v>3</v>
      </c>
      <c r="H13" s="227"/>
      <c r="I13" s="225" t="s">
        <v>2</v>
      </c>
      <c r="J13" s="225"/>
      <c r="K13" s="227" t="s">
        <v>4</v>
      </c>
      <c r="L13" s="227"/>
      <c r="M13" s="225"/>
      <c r="N13" s="226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ht="26.25" customHeight="1" thickBot="1" x14ac:dyDescent="0.3">
      <c r="B14" s="221"/>
      <c r="C14" s="205"/>
      <c r="D14" s="208"/>
      <c r="E14" s="56" t="s">
        <v>86</v>
      </c>
      <c r="F14" s="57" t="s">
        <v>87</v>
      </c>
      <c r="G14" s="56" t="s">
        <v>86</v>
      </c>
      <c r="H14" s="58" t="s">
        <v>87</v>
      </c>
      <c r="I14" s="56" t="s">
        <v>86</v>
      </c>
      <c r="J14" s="58" t="s">
        <v>87</v>
      </c>
      <c r="K14" s="56" t="s">
        <v>86</v>
      </c>
      <c r="L14" s="58" t="s">
        <v>87</v>
      </c>
      <c r="M14" s="56" t="s">
        <v>86</v>
      </c>
      <c r="N14" s="59" t="s">
        <v>87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16" t="s">
        <v>36</v>
      </c>
      <c r="C15" s="197" t="s">
        <v>8</v>
      </c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9"/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217"/>
      <c r="C16" s="16" t="s">
        <v>56</v>
      </c>
      <c r="D16" s="8" t="s">
        <v>55</v>
      </c>
      <c r="E16" s="108">
        <v>140</v>
      </c>
      <c r="F16" s="24">
        <v>160</v>
      </c>
      <c r="G16" s="17">
        <f>E16*4.35/100</f>
        <v>6.09</v>
      </c>
      <c r="H16" s="27">
        <f>F16*4.35/100</f>
        <v>6.96</v>
      </c>
      <c r="I16" s="17">
        <f>E16*3.74/100</f>
        <v>5.2360000000000007</v>
      </c>
      <c r="J16" s="27">
        <f>F16*3.74/100</f>
        <v>5.9840000000000009</v>
      </c>
      <c r="K16" s="17">
        <f>E16*15.7/100</f>
        <v>21.98</v>
      </c>
      <c r="L16" s="27">
        <f>F16*15.7/100</f>
        <v>25.12</v>
      </c>
      <c r="M16" s="17">
        <f t="shared" ref="M16:N16" si="0">G16*4+I16*9+K16*4</f>
        <v>159.404</v>
      </c>
      <c r="N16" s="29">
        <f t="shared" si="0"/>
        <v>182.17600000000002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17"/>
      <c r="C17" s="16" t="s">
        <v>211</v>
      </c>
      <c r="D17" s="92" t="s">
        <v>212</v>
      </c>
      <c r="E17" s="63">
        <v>25</v>
      </c>
      <c r="F17" s="60">
        <v>30</v>
      </c>
      <c r="G17" s="93">
        <f>E17*7.5/100</f>
        <v>1.875</v>
      </c>
      <c r="H17" s="37">
        <f>F17*7.5/100</f>
        <v>2.25</v>
      </c>
      <c r="I17" s="94">
        <f>E17*2.9/100</f>
        <v>0.72499999999999998</v>
      </c>
      <c r="J17" s="27">
        <f>F17*2.9/100</f>
        <v>0.87</v>
      </c>
      <c r="K17" s="94">
        <f>E17*51.4/100</f>
        <v>12.85</v>
      </c>
      <c r="L17" s="27">
        <f>F17*51.4/100</f>
        <v>15.42</v>
      </c>
      <c r="M17" s="94">
        <f t="shared" ref="M17:N20" si="1">G17*4+I17*9+K17*4</f>
        <v>65.424999999999997</v>
      </c>
      <c r="N17" s="29">
        <f t="shared" si="1"/>
        <v>78.509999999999991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s="12" customFormat="1" x14ac:dyDescent="0.25">
      <c r="B18" s="217"/>
      <c r="C18" s="15" t="s">
        <v>161</v>
      </c>
      <c r="D18" s="8" t="s">
        <v>162</v>
      </c>
      <c r="E18" s="89">
        <v>25</v>
      </c>
      <c r="F18" s="24">
        <v>50</v>
      </c>
      <c r="G18" s="17">
        <f>E18*12.7/100</f>
        <v>3.1749999999999998</v>
      </c>
      <c r="H18" s="27">
        <f>F18*12.7/100</f>
        <v>6.35</v>
      </c>
      <c r="I18" s="17">
        <f>E18*11.5/100</f>
        <v>2.875</v>
      </c>
      <c r="J18" s="27">
        <f>F18*11.5/100</f>
        <v>5.75</v>
      </c>
      <c r="K18" s="17">
        <f>E18*0.07/100</f>
        <v>1.7500000000000002E-2</v>
      </c>
      <c r="L18" s="27">
        <f>F18*0.07/100</f>
        <v>3.5000000000000003E-2</v>
      </c>
      <c r="M18" s="17">
        <f t="shared" si="1"/>
        <v>38.645000000000003</v>
      </c>
      <c r="N18" s="29">
        <f t="shared" si="1"/>
        <v>77.290000000000006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17"/>
      <c r="C19" s="16" t="s">
        <v>46</v>
      </c>
      <c r="D19" s="6" t="s">
        <v>11</v>
      </c>
      <c r="E19" s="89">
        <v>180</v>
      </c>
      <c r="F19" s="25">
        <v>200</v>
      </c>
      <c r="G19" s="17">
        <f>E19*0.3/200</f>
        <v>0.27</v>
      </c>
      <c r="H19" s="27">
        <f>F19*0.3/200</f>
        <v>0.3</v>
      </c>
      <c r="I19" s="17">
        <f t="shared" ref="I19:J19" si="2">E19*0.1/200</f>
        <v>0.09</v>
      </c>
      <c r="J19" s="27">
        <f t="shared" si="2"/>
        <v>0.1</v>
      </c>
      <c r="K19" s="17">
        <f>E19*9.5/200</f>
        <v>8.5500000000000007</v>
      </c>
      <c r="L19" s="27">
        <f>F19*9.5/200</f>
        <v>9.5</v>
      </c>
      <c r="M19" s="17">
        <f t="shared" si="1"/>
        <v>36.090000000000003</v>
      </c>
      <c r="N19" s="29">
        <f t="shared" si="1"/>
        <v>40.1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17"/>
      <c r="C20" s="23"/>
      <c r="D20" s="4" t="s">
        <v>13</v>
      </c>
      <c r="E20" s="21">
        <f t="shared" ref="E20:L20" si="3">SUM(E16:E19)</f>
        <v>370</v>
      </c>
      <c r="F20" s="26">
        <f t="shared" si="3"/>
        <v>440</v>
      </c>
      <c r="G20" s="7">
        <f>SUM(G16:G19)</f>
        <v>11.41</v>
      </c>
      <c r="H20" s="28">
        <f t="shared" si="3"/>
        <v>15.860000000000001</v>
      </c>
      <c r="I20" s="7">
        <f t="shared" si="3"/>
        <v>8.9260000000000002</v>
      </c>
      <c r="J20" s="28">
        <f t="shared" si="3"/>
        <v>12.704000000000001</v>
      </c>
      <c r="K20" s="7">
        <f t="shared" si="3"/>
        <v>43.397499999999994</v>
      </c>
      <c r="L20" s="28">
        <f t="shared" si="3"/>
        <v>50.074999999999996</v>
      </c>
      <c r="M20" s="7">
        <f>G20*4+I20*9+K20*4</f>
        <v>299.56399999999996</v>
      </c>
      <c r="N20" s="30">
        <f t="shared" si="1"/>
        <v>378.07600000000002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17"/>
      <c r="C21" s="200" t="s">
        <v>83</v>
      </c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2"/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17"/>
      <c r="C22" s="16" t="s">
        <v>172</v>
      </c>
      <c r="D22" s="6" t="s">
        <v>173</v>
      </c>
      <c r="E22" s="89">
        <v>100</v>
      </c>
      <c r="F22" s="25">
        <v>100</v>
      </c>
      <c r="G22" s="17">
        <f>E22*0.5/100</f>
        <v>0.5</v>
      </c>
      <c r="H22" s="27">
        <f>F22*0.5/100</f>
        <v>0.5</v>
      </c>
      <c r="I22" s="17">
        <f>E22*0.1/100</f>
        <v>0.1</v>
      </c>
      <c r="J22" s="27">
        <f>F22*0.1/100</f>
        <v>0.1</v>
      </c>
      <c r="K22" s="17">
        <f>E22*10.1/100</f>
        <v>10.1</v>
      </c>
      <c r="L22" s="27">
        <f>F22*10.1/100</f>
        <v>10.1</v>
      </c>
      <c r="M22" s="17">
        <f t="shared" ref="M22:N23" si="4">G22*4+I22*9+K22*4</f>
        <v>43.3</v>
      </c>
      <c r="N22" s="29">
        <f t="shared" si="4"/>
        <v>43.3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s="12" customFormat="1" x14ac:dyDescent="0.25">
      <c r="B23" s="217"/>
      <c r="C23" s="15" t="s">
        <v>35</v>
      </c>
      <c r="D23" s="9" t="s">
        <v>213</v>
      </c>
      <c r="E23" s="89">
        <v>30</v>
      </c>
      <c r="F23" s="25">
        <v>30</v>
      </c>
      <c r="G23" s="17">
        <f>E23*7.7/100</f>
        <v>2.31</v>
      </c>
      <c r="H23" s="27">
        <f>F23*7.7/100</f>
        <v>2.31</v>
      </c>
      <c r="I23" s="17">
        <f>E23*16.1/100</f>
        <v>4.830000000000001</v>
      </c>
      <c r="J23" s="27">
        <f>F23*16.1/100</f>
        <v>4.830000000000001</v>
      </c>
      <c r="K23" s="17">
        <f>E23*68.7/100</f>
        <v>20.61</v>
      </c>
      <c r="L23" s="27">
        <f>F23*68.7/100</f>
        <v>20.61</v>
      </c>
      <c r="M23" s="17">
        <f t="shared" si="4"/>
        <v>135.15</v>
      </c>
      <c r="N23" s="29">
        <f t="shared" si="4"/>
        <v>135.15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s="12" customFormat="1" x14ac:dyDescent="0.25">
      <c r="B24" s="217"/>
      <c r="C24" s="15"/>
      <c r="D24" s="4" t="s">
        <v>84</v>
      </c>
      <c r="E24" s="21">
        <f>SUM(E22:E23)</f>
        <v>130</v>
      </c>
      <c r="F24" s="90">
        <f t="shared" ref="F24:N24" si="5">SUM(F22:F23)</f>
        <v>130</v>
      </c>
      <c r="G24" s="21">
        <f t="shared" si="5"/>
        <v>2.81</v>
      </c>
      <c r="H24" s="90">
        <f t="shared" si="5"/>
        <v>2.81</v>
      </c>
      <c r="I24" s="21">
        <f t="shared" si="5"/>
        <v>4.9300000000000006</v>
      </c>
      <c r="J24" s="90">
        <f t="shared" si="5"/>
        <v>4.9300000000000006</v>
      </c>
      <c r="K24" s="21">
        <f t="shared" si="5"/>
        <v>30.71</v>
      </c>
      <c r="L24" s="90">
        <f t="shared" si="5"/>
        <v>30.71</v>
      </c>
      <c r="M24" s="21">
        <f t="shared" si="5"/>
        <v>178.45</v>
      </c>
      <c r="N24" s="95">
        <f t="shared" si="5"/>
        <v>178.45</v>
      </c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s="12" customFormat="1" x14ac:dyDescent="0.25">
      <c r="B25" s="217"/>
      <c r="C25" s="200" t="s">
        <v>9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2"/>
      <c r="O25" s="1"/>
      <c r="P25" s="3"/>
      <c r="Q25" s="5" t="s">
        <v>22</v>
      </c>
      <c r="R25" s="5"/>
      <c r="S25" s="5"/>
      <c r="T25" s="5"/>
      <c r="U25" s="1"/>
      <c r="V25" s="3"/>
      <c r="W25" s="5"/>
      <c r="X25" s="5"/>
      <c r="Y25" s="5"/>
      <c r="Z25" s="5"/>
    </row>
    <row r="26" spans="2:26" s="12" customFormat="1" x14ac:dyDescent="0.25">
      <c r="B26" s="217"/>
      <c r="C26" s="44" t="s">
        <v>35</v>
      </c>
      <c r="D26" s="96" t="s">
        <v>230</v>
      </c>
      <c r="E26" s="97">
        <v>30</v>
      </c>
      <c r="F26" s="98">
        <v>50</v>
      </c>
      <c r="G26" s="99">
        <f>E26*1.7/100</f>
        <v>0.51</v>
      </c>
      <c r="H26" s="100">
        <f>F26*1.7/100</f>
        <v>0.85</v>
      </c>
      <c r="I26" s="99">
        <f>E26*9/100</f>
        <v>2.7</v>
      </c>
      <c r="J26" s="100">
        <f>F26*9/100</f>
        <v>4.5</v>
      </c>
      <c r="K26" s="99">
        <f>E26*9/100</f>
        <v>2.7</v>
      </c>
      <c r="L26" s="100">
        <f>F26*9/100</f>
        <v>4.5</v>
      </c>
      <c r="M26" s="101">
        <f t="shared" ref="M26:N26" si="6">G26*4+I26*9+K26*4</f>
        <v>37.14</v>
      </c>
      <c r="N26" s="102">
        <f t="shared" si="6"/>
        <v>61.9</v>
      </c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s="12" customFormat="1" x14ac:dyDescent="0.25">
      <c r="B27" s="217"/>
      <c r="C27" s="15" t="s">
        <v>108</v>
      </c>
      <c r="D27" s="8" t="s">
        <v>109</v>
      </c>
      <c r="E27" s="108">
        <v>150</v>
      </c>
      <c r="F27" s="31">
        <v>180</v>
      </c>
      <c r="G27" s="17">
        <f>E27*0.8/100</f>
        <v>1.2</v>
      </c>
      <c r="H27" s="27">
        <f>F27*0.8/100</f>
        <v>1.44</v>
      </c>
      <c r="I27" s="17">
        <f>E27*1.72/100</f>
        <v>2.58</v>
      </c>
      <c r="J27" s="27">
        <f>F27*1.72/100</f>
        <v>3.0960000000000001</v>
      </c>
      <c r="K27" s="17">
        <f>E27*4/100</f>
        <v>6</v>
      </c>
      <c r="L27" s="27">
        <f>F27*4/100</f>
        <v>7.2</v>
      </c>
      <c r="M27" s="17">
        <f t="shared" ref="M27" si="7">G27*4+I27*9+K27*4</f>
        <v>52.019999999999996</v>
      </c>
      <c r="N27" s="29">
        <f>H27*4+J27*9+L27*4</f>
        <v>62.424000000000007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x14ac:dyDescent="0.25">
      <c r="B28" s="217"/>
      <c r="C28" s="16" t="s">
        <v>30</v>
      </c>
      <c r="D28" s="6" t="s">
        <v>10</v>
      </c>
      <c r="E28" s="89">
        <v>120</v>
      </c>
      <c r="F28" s="25">
        <v>150</v>
      </c>
      <c r="G28" s="17">
        <f>E28*3.5/100</f>
        <v>4.2</v>
      </c>
      <c r="H28" s="27">
        <f>F28*3.5/100</f>
        <v>5.25</v>
      </c>
      <c r="I28" s="89">
        <f>E28*4.1/100</f>
        <v>4.919999999999999</v>
      </c>
      <c r="J28" s="27">
        <f>F28*4.1/100</f>
        <v>6.15</v>
      </c>
      <c r="K28" s="17">
        <f>E28*23.5/100</f>
        <v>28.2</v>
      </c>
      <c r="L28" s="27">
        <f>F28*23.5/100</f>
        <v>35.25</v>
      </c>
      <c r="M28" s="17">
        <f t="shared" ref="M28:N31" si="8">G28*4+I28*9+K28*4</f>
        <v>173.88</v>
      </c>
      <c r="N28" s="29">
        <f t="shared" ref="N28" si="9">H28*4+J28*9+L28*4</f>
        <v>217.35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x14ac:dyDescent="0.25">
      <c r="B29" s="217"/>
      <c r="C29" s="15" t="s">
        <v>180</v>
      </c>
      <c r="D29" s="9" t="s">
        <v>181</v>
      </c>
      <c r="E29" s="89">
        <v>50</v>
      </c>
      <c r="F29" s="25">
        <v>70</v>
      </c>
      <c r="G29" s="17">
        <f>E29*6.33/100</f>
        <v>3.165</v>
      </c>
      <c r="H29" s="27">
        <f>F29*6.33/100</f>
        <v>4.431</v>
      </c>
      <c r="I29" s="17">
        <f>E29*14.65/100</f>
        <v>7.3250000000000002</v>
      </c>
      <c r="J29" s="27">
        <f>F29*14.65/100</f>
        <v>10.255000000000001</v>
      </c>
      <c r="K29" s="17">
        <f>E29*10.55/100</f>
        <v>5.2750000000000004</v>
      </c>
      <c r="L29" s="27">
        <f>F29*10.55/100</f>
        <v>7.3849999999999998</v>
      </c>
      <c r="M29" s="17">
        <f t="shared" si="8"/>
        <v>99.685000000000002</v>
      </c>
      <c r="N29" s="29">
        <f t="shared" si="8"/>
        <v>139.559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  <row r="30" spans="2:26" x14ac:dyDescent="0.25">
      <c r="B30" s="217"/>
      <c r="C30" s="15" t="s">
        <v>52</v>
      </c>
      <c r="D30" s="9" t="s">
        <v>53</v>
      </c>
      <c r="E30" s="89">
        <v>150</v>
      </c>
      <c r="F30" s="25">
        <v>180</v>
      </c>
      <c r="G30" s="17">
        <f>E30*0.6/200</f>
        <v>0.45</v>
      </c>
      <c r="H30" s="27">
        <f>F30*0.6/200</f>
        <v>0.54</v>
      </c>
      <c r="I30" s="17">
        <f t="shared" ref="I30" si="10">E30*0.1/200</f>
        <v>7.4999999999999997E-2</v>
      </c>
      <c r="J30" s="27">
        <f t="shared" ref="J30" si="11">F30*0.1/200</f>
        <v>0.09</v>
      </c>
      <c r="K30" s="17">
        <f>E30*20.1/200</f>
        <v>15.074999999999999</v>
      </c>
      <c r="L30" s="27">
        <f>F30*20.1/200</f>
        <v>18.090000000000003</v>
      </c>
      <c r="M30" s="17">
        <f t="shared" si="8"/>
        <v>62.774999999999999</v>
      </c>
      <c r="N30" s="29">
        <f t="shared" si="8"/>
        <v>75.330000000000013</v>
      </c>
      <c r="O30" s="1"/>
      <c r="P30" s="3"/>
      <c r="Q30" s="5"/>
      <c r="R30" s="5"/>
      <c r="S30" s="5"/>
      <c r="T30" s="5"/>
      <c r="U30" s="1"/>
      <c r="V30" s="3"/>
      <c r="W30" s="5"/>
      <c r="X30" s="5"/>
      <c r="Y30" s="5"/>
      <c r="Z30" s="5"/>
    </row>
    <row r="31" spans="2:26" x14ac:dyDescent="0.25">
      <c r="B31" s="217"/>
      <c r="C31" s="16" t="s">
        <v>165</v>
      </c>
      <c r="D31" s="6" t="s">
        <v>21</v>
      </c>
      <c r="E31" s="63">
        <v>25</v>
      </c>
      <c r="F31" s="60">
        <v>30</v>
      </c>
      <c r="G31" s="17">
        <f>E31*8/100</f>
        <v>2</v>
      </c>
      <c r="H31" s="27">
        <f>F31*8/100</f>
        <v>2.4</v>
      </c>
      <c r="I31" s="17">
        <f>E31*1.5/100</f>
        <v>0.375</v>
      </c>
      <c r="J31" s="27">
        <f>F31*1.5/100</f>
        <v>0.45</v>
      </c>
      <c r="K31" s="17">
        <f>E31*40.1/100</f>
        <v>10.025</v>
      </c>
      <c r="L31" s="27">
        <f>F31*40.1/100</f>
        <v>12.03</v>
      </c>
      <c r="M31" s="17">
        <f t="shared" si="8"/>
        <v>51.475000000000001</v>
      </c>
      <c r="N31" s="29">
        <f t="shared" si="8"/>
        <v>61.769999999999996</v>
      </c>
      <c r="O31" s="1"/>
      <c r="P31" s="3"/>
      <c r="Q31" s="5"/>
      <c r="R31" s="5"/>
      <c r="S31" s="5"/>
      <c r="T31" s="5"/>
      <c r="U31" s="1"/>
      <c r="V31" s="3"/>
      <c r="W31" s="5"/>
      <c r="X31" s="5"/>
      <c r="Y31" s="5"/>
      <c r="Z31" s="5"/>
    </row>
    <row r="32" spans="2:26" x14ac:dyDescent="0.25">
      <c r="B32" s="217"/>
      <c r="C32" s="16" t="s">
        <v>163</v>
      </c>
      <c r="D32" s="6" t="s">
        <v>164</v>
      </c>
      <c r="E32" s="63">
        <v>25</v>
      </c>
      <c r="F32" s="60">
        <v>30</v>
      </c>
      <c r="G32" s="17">
        <f>E32*7.6/100</f>
        <v>1.9</v>
      </c>
      <c r="H32" s="27">
        <f>F32*7.6/100</f>
        <v>2.2799999999999998</v>
      </c>
      <c r="I32" s="17">
        <f>E32*0.8/100</f>
        <v>0.2</v>
      </c>
      <c r="J32" s="27">
        <f>F32*0.8/100</f>
        <v>0.24</v>
      </c>
      <c r="K32" s="17">
        <f>E32*49.2/100</f>
        <v>12.3</v>
      </c>
      <c r="L32" s="27">
        <f>F32*49.2/100</f>
        <v>14.76</v>
      </c>
      <c r="M32" s="17">
        <f t="shared" ref="M32:N32" si="12">G32*4+I32*9+K32*4</f>
        <v>58.6</v>
      </c>
      <c r="N32" s="29">
        <f t="shared" si="12"/>
        <v>70.319999999999993</v>
      </c>
      <c r="O32" s="1"/>
      <c r="P32" s="3"/>
      <c r="Q32" s="5"/>
      <c r="R32" s="5"/>
      <c r="S32" s="5"/>
      <c r="T32" s="5"/>
      <c r="U32" s="1"/>
      <c r="V32" s="3"/>
      <c r="W32" s="5"/>
      <c r="X32" s="5"/>
      <c r="Y32" s="5"/>
      <c r="Z32" s="5"/>
    </row>
    <row r="33" spans="2:26" x14ac:dyDescent="0.25">
      <c r="B33" s="217"/>
      <c r="C33" s="16"/>
      <c r="D33" s="4" t="s">
        <v>14</v>
      </c>
      <c r="E33" s="21">
        <f t="shared" ref="E33:N33" si="13">SUM(E26:E32)</f>
        <v>550</v>
      </c>
      <c r="F33" s="32">
        <f t="shared" si="13"/>
        <v>690</v>
      </c>
      <c r="G33" s="7">
        <f t="shared" si="13"/>
        <v>13.424999999999999</v>
      </c>
      <c r="H33" s="28">
        <f t="shared" si="13"/>
        <v>17.190999999999999</v>
      </c>
      <c r="I33" s="7">
        <f t="shared" si="13"/>
        <v>18.174999999999997</v>
      </c>
      <c r="J33" s="28">
        <f t="shared" si="13"/>
        <v>24.780999999999999</v>
      </c>
      <c r="K33" s="7">
        <f t="shared" si="13"/>
        <v>79.575000000000003</v>
      </c>
      <c r="L33" s="28">
        <f t="shared" si="13"/>
        <v>99.215000000000018</v>
      </c>
      <c r="M33" s="7">
        <f t="shared" si="13"/>
        <v>535.57499999999993</v>
      </c>
      <c r="N33" s="30">
        <f t="shared" si="13"/>
        <v>688.65300000000002</v>
      </c>
      <c r="O33" s="1"/>
      <c r="P33" s="3"/>
      <c r="Q33" s="5"/>
      <c r="R33" s="5"/>
      <c r="S33" s="5"/>
      <c r="T33" s="5"/>
      <c r="U33" s="1"/>
      <c r="V33" s="3"/>
      <c r="W33" s="5"/>
      <c r="X33" s="5"/>
      <c r="Y33" s="5"/>
      <c r="Z33" s="5"/>
    </row>
    <row r="34" spans="2:26" s="12" customFormat="1" x14ac:dyDescent="0.25">
      <c r="B34" s="217"/>
      <c r="C34" s="213" t="s">
        <v>88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5"/>
      <c r="O34" s="1"/>
      <c r="P34" s="3"/>
      <c r="Q34" s="5"/>
      <c r="R34" s="5"/>
      <c r="S34" s="5"/>
      <c r="T34" s="5"/>
      <c r="U34" s="1"/>
      <c r="V34" s="3"/>
      <c r="W34" s="5"/>
      <c r="X34" s="5"/>
      <c r="Y34" s="5"/>
      <c r="Z34" s="5"/>
    </row>
    <row r="35" spans="2:26" s="12" customFormat="1" x14ac:dyDescent="0.25">
      <c r="B35" s="217"/>
      <c r="C35" s="15" t="s">
        <v>239</v>
      </c>
      <c r="D35" s="9" t="s">
        <v>240</v>
      </c>
      <c r="E35" s="108">
        <v>75</v>
      </c>
      <c r="F35" s="25">
        <v>75</v>
      </c>
      <c r="G35" s="17">
        <f>E35*4.8/75</f>
        <v>4.8</v>
      </c>
      <c r="H35" s="27">
        <f>F35*4.8/75</f>
        <v>4.8</v>
      </c>
      <c r="I35" s="17">
        <f>E35*8.5/75</f>
        <v>8.5</v>
      </c>
      <c r="J35" s="27">
        <f>F35*8.5/75</f>
        <v>8.5</v>
      </c>
      <c r="K35" s="17">
        <f>E35*48.4/75</f>
        <v>48.4</v>
      </c>
      <c r="L35" s="27">
        <f>F35*48.4/75</f>
        <v>48.4</v>
      </c>
      <c r="M35" s="17">
        <f t="shared" ref="M35:N36" si="14">G35*4+I35*9+K35*4</f>
        <v>289.3</v>
      </c>
      <c r="N35" s="29">
        <f t="shared" si="14"/>
        <v>289.3</v>
      </c>
      <c r="O35" s="1"/>
      <c r="P35" s="3"/>
      <c r="Q35" s="5"/>
      <c r="R35" s="5"/>
      <c r="S35" s="5"/>
      <c r="T35" s="5"/>
      <c r="U35" s="1"/>
      <c r="V35" s="3"/>
      <c r="W35" s="5"/>
      <c r="X35" s="5"/>
      <c r="Y35" s="5"/>
      <c r="Z35" s="5"/>
    </row>
    <row r="36" spans="2:26" s="12" customFormat="1" x14ac:dyDescent="0.25">
      <c r="B36" s="217"/>
      <c r="C36" s="15" t="s">
        <v>91</v>
      </c>
      <c r="D36" s="9" t="s">
        <v>92</v>
      </c>
      <c r="E36" s="108">
        <v>150</v>
      </c>
      <c r="F36" s="25">
        <v>180</v>
      </c>
      <c r="G36" s="17">
        <f>E36*1.4/200</f>
        <v>1.05</v>
      </c>
      <c r="H36" s="27">
        <f>F36*1.4/200</f>
        <v>1.2599999999999998</v>
      </c>
      <c r="I36" s="17">
        <f>E36*1.2/200</f>
        <v>0.9</v>
      </c>
      <c r="J36" s="27">
        <f>F36*1.2/200</f>
        <v>1.08</v>
      </c>
      <c r="K36" s="17">
        <f>E36*11.4/200</f>
        <v>8.5500000000000007</v>
      </c>
      <c r="L36" s="27">
        <f>F36*11.4/200</f>
        <v>10.26</v>
      </c>
      <c r="M36" s="17">
        <f t="shared" si="14"/>
        <v>46.5</v>
      </c>
      <c r="N36" s="29">
        <f t="shared" si="14"/>
        <v>55.8</v>
      </c>
      <c r="O36" s="1"/>
      <c r="P36" s="3"/>
      <c r="Q36" s="5"/>
      <c r="R36" s="5"/>
      <c r="S36" s="5"/>
      <c r="T36" s="5"/>
      <c r="U36" s="1"/>
      <c r="V36" s="3"/>
      <c r="W36" s="5"/>
      <c r="X36" s="5"/>
      <c r="Y36" s="5"/>
      <c r="Z36" s="5"/>
    </row>
    <row r="37" spans="2:26" x14ac:dyDescent="0.25">
      <c r="B37" s="217"/>
      <c r="C37" s="42"/>
      <c r="D37" s="49" t="s">
        <v>85</v>
      </c>
      <c r="E37" s="50">
        <f t="shared" ref="E37:N37" si="15">SUM(E35:E36)</f>
        <v>225</v>
      </c>
      <c r="F37" s="51">
        <f t="shared" si="15"/>
        <v>255</v>
      </c>
      <c r="G37" s="52">
        <f t="shared" si="15"/>
        <v>5.85</v>
      </c>
      <c r="H37" s="53">
        <f t="shared" si="15"/>
        <v>6.06</v>
      </c>
      <c r="I37" s="52">
        <f t="shared" si="15"/>
        <v>9.4</v>
      </c>
      <c r="J37" s="53">
        <f t="shared" si="15"/>
        <v>9.58</v>
      </c>
      <c r="K37" s="52">
        <f t="shared" si="15"/>
        <v>56.95</v>
      </c>
      <c r="L37" s="53">
        <f t="shared" si="15"/>
        <v>58.66</v>
      </c>
      <c r="M37" s="52">
        <f t="shared" si="15"/>
        <v>335.8</v>
      </c>
      <c r="N37" s="54">
        <f t="shared" si="15"/>
        <v>345.1</v>
      </c>
      <c r="O37" s="1"/>
      <c r="P37" s="3"/>
      <c r="Q37" s="5"/>
      <c r="R37" s="5"/>
      <c r="S37" s="5"/>
      <c r="T37" s="5"/>
      <c r="U37" s="1"/>
      <c r="V37" s="3"/>
      <c r="W37" s="5"/>
      <c r="X37" s="5"/>
      <c r="Y37" s="5"/>
      <c r="Z37" s="5"/>
    </row>
    <row r="38" spans="2:26" s="12" customFormat="1" ht="15.75" thickBot="1" x14ac:dyDescent="0.3">
      <c r="B38" s="218"/>
      <c r="C38" s="22"/>
      <c r="D38" s="13" t="s">
        <v>12</v>
      </c>
      <c r="E38" s="18"/>
      <c r="F38" s="43"/>
      <c r="G38" s="14">
        <f t="shared" ref="G38:N38" si="16">G37+G33+G24+G20</f>
        <v>33.494999999999997</v>
      </c>
      <c r="H38" s="33">
        <f t="shared" si="16"/>
        <v>41.920999999999999</v>
      </c>
      <c r="I38" s="14">
        <f t="shared" si="16"/>
        <v>41.430999999999997</v>
      </c>
      <c r="J38" s="33">
        <f t="shared" si="16"/>
        <v>51.994999999999997</v>
      </c>
      <c r="K38" s="14">
        <f t="shared" si="16"/>
        <v>210.63249999999999</v>
      </c>
      <c r="L38" s="33">
        <f t="shared" si="16"/>
        <v>238.66</v>
      </c>
      <c r="M38" s="14">
        <f t="shared" si="16"/>
        <v>1349.3890000000001</v>
      </c>
      <c r="N38" s="35">
        <f t="shared" si="16"/>
        <v>1590.2790000000002</v>
      </c>
      <c r="O38" s="1"/>
      <c r="P38" s="3"/>
      <c r="Q38" s="5"/>
      <c r="R38" s="5"/>
      <c r="S38" s="5"/>
      <c r="T38" s="5"/>
      <c r="U38" s="1"/>
      <c r="V38" s="3"/>
      <c r="W38" s="5"/>
      <c r="X38" s="5"/>
      <c r="Y38" s="5"/>
      <c r="Z38" s="5"/>
    </row>
    <row r="39" spans="2:26" x14ac:dyDescent="0.25">
      <c r="B39" s="194" t="s">
        <v>17</v>
      </c>
      <c r="C39" s="194"/>
      <c r="D39" s="194"/>
      <c r="E39" s="194"/>
    </row>
    <row r="41" spans="2:26" x14ac:dyDescent="0.25">
      <c r="D41" s="10" t="s">
        <v>22</v>
      </c>
    </row>
    <row r="44" spans="2:26" x14ac:dyDescent="0.25">
      <c r="F44" s="10" t="s">
        <v>22</v>
      </c>
    </row>
    <row r="50" spans="6:10" x14ac:dyDescent="0.25">
      <c r="F50" s="1"/>
    </row>
    <row r="58" spans="6:10" x14ac:dyDescent="0.25">
      <c r="J58" s="1"/>
    </row>
  </sheetData>
  <mergeCells count="24">
    <mergeCell ref="C25:N25"/>
    <mergeCell ref="B15:B38"/>
    <mergeCell ref="B12:B14"/>
    <mergeCell ref="G12:L12"/>
    <mergeCell ref="M12:N13"/>
    <mergeCell ref="G13:H13"/>
    <mergeCell ref="I13:J13"/>
    <mergeCell ref="K13:L13"/>
    <mergeCell ref="I2:O2"/>
    <mergeCell ref="I1:M1"/>
    <mergeCell ref="I3:M3"/>
    <mergeCell ref="B39:E39"/>
    <mergeCell ref="C1:G1"/>
    <mergeCell ref="C3:F3"/>
    <mergeCell ref="D7:M7"/>
    <mergeCell ref="D8:M8"/>
    <mergeCell ref="D9:M9"/>
    <mergeCell ref="D10:M10"/>
    <mergeCell ref="C15:N15"/>
    <mergeCell ref="C21:N21"/>
    <mergeCell ref="C12:C14"/>
    <mergeCell ref="D12:D14"/>
    <mergeCell ref="E12:F13"/>
    <mergeCell ref="C34:N34"/>
  </mergeCells>
  <pageMargins left="0.23622047244094491" right="0.23622047244094491" top="0.19685039370078741" bottom="0.19685039370078741" header="0.31496062992125984" footer="0.31496062992125984"/>
  <pageSetup paperSize="9" scale="95" fitToWidth="0" fitToHeight="0" orientation="landscape" r:id="rId1"/>
  <ignoredErrors>
    <ignoredError sqref="K28:L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  <pageSetUpPr fitToPage="1"/>
  </sheetPr>
  <dimension ref="B3:Z50"/>
  <sheetViews>
    <sheetView zoomScale="90" zoomScaleNormal="90" zoomScalePageLayoutView="90" workbookViewId="0">
      <selection activeCell="C17" sqref="C17:N17"/>
    </sheetView>
  </sheetViews>
  <sheetFormatPr defaultColWidth="9.140625" defaultRowHeight="15" x14ac:dyDescent="0.25"/>
  <cols>
    <col min="1" max="1" width="4.85546875" style="12" customWidth="1"/>
    <col min="2" max="2" width="2.7109375" style="12" customWidth="1"/>
    <col min="3" max="3" width="10.5703125" style="12" customWidth="1"/>
    <col min="4" max="4" width="35.285156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8.28515625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15" customHeight="1" thickBot="1" x14ac:dyDescent="0.3">
      <c r="B3" s="194" t="s">
        <v>17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7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16" t="s">
        <v>37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</row>
    <row r="8" spans="2:26" x14ac:dyDescent="0.25">
      <c r="B8" s="217"/>
      <c r="C8" s="15" t="s">
        <v>170</v>
      </c>
      <c r="D8" s="8" t="s">
        <v>171</v>
      </c>
      <c r="E8" s="108">
        <v>140</v>
      </c>
      <c r="F8" s="24">
        <v>160</v>
      </c>
      <c r="G8" s="17">
        <f>E8*3.03/100</f>
        <v>4.242</v>
      </c>
      <c r="H8" s="27">
        <f>F8*3.03/100</f>
        <v>4.8479999999999999</v>
      </c>
      <c r="I8" s="17">
        <f>E8*3.21/100</f>
        <v>4.4939999999999998</v>
      </c>
      <c r="J8" s="27">
        <f>F8*3.21/100</f>
        <v>5.1360000000000001</v>
      </c>
      <c r="K8" s="17">
        <f>E8*15.23/100</f>
        <v>21.322000000000003</v>
      </c>
      <c r="L8" s="27">
        <f>F8*15.23/100</f>
        <v>24.368000000000002</v>
      </c>
      <c r="M8" s="17">
        <f t="shared" ref="M8:N8" si="0">G8*4+I8*9+K8*4</f>
        <v>142.702</v>
      </c>
      <c r="N8" s="29">
        <f t="shared" si="0"/>
        <v>163.08800000000002</v>
      </c>
    </row>
    <row r="9" spans="2:26" x14ac:dyDescent="0.25">
      <c r="B9" s="217"/>
      <c r="C9" s="16" t="s">
        <v>211</v>
      </c>
      <c r="D9" s="92" t="s">
        <v>212</v>
      </c>
      <c r="E9" s="63">
        <v>25</v>
      </c>
      <c r="F9" s="60">
        <v>30</v>
      </c>
      <c r="G9" s="93">
        <f>E9*7.5/100</f>
        <v>1.875</v>
      </c>
      <c r="H9" s="37">
        <f>F9*7.5/100</f>
        <v>2.25</v>
      </c>
      <c r="I9" s="94">
        <f>E9*2.9/100</f>
        <v>0.72499999999999998</v>
      </c>
      <c r="J9" s="27">
        <f>F9*2.9/100</f>
        <v>0.87</v>
      </c>
      <c r="K9" s="94">
        <f>E9*51.4/100</f>
        <v>12.85</v>
      </c>
      <c r="L9" s="27">
        <f>F9*51.4/100</f>
        <v>15.42</v>
      </c>
      <c r="M9" s="94">
        <f t="shared" ref="M9:N12" si="1">G9*4+I9*9+K9*4</f>
        <v>65.424999999999997</v>
      </c>
      <c r="N9" s="29">
        <f t="shared" si="1"/>
        <v>78.509999999999991</v>
      </c>
    </row>
    <row r="10" spans="2:26" x14ac:dyDescent="0.25">
      <c r="B10" s="217"/>
      <c r="C10" s="46" t="s">
        <v>166</v>
      </c>
      <c r="D10" s="47" t="s">
        <v>167</v>
      </c>
      <c r="E10" s="103">
        <v>8</v>
      </c>
      <c r="F10" s="48">
        <v>10</v>
      </c>
      <c r="G10" s="17">
        <f>E10*23.2/100</f>
        <v>1.8559999999999999</v>
      </c>
      <c r="H10" s="27">
        <f>F10*23.2/100</f>
        <v>2.3199999999999998</v>
      </c>
      <c r="I10" s="17">
        <f>E10*29.5/100</f>
        <v>2.36</v>
      </c>
      <c r="J10" s="27">
        <f>F10*29.5/100</f>
        <v>2.95</v>
      </c>
      <c r="K10" s="17">
        <f>E10*0/100</f>
        <v>0</v>
      </c>
      <c r="L10" s="27">
        <f>F10*0/100</f>
        <v>0</v>
      </c>
      <c r="M10" s="17">
        <f t="shared" si="1"/>
        <v>28.663999999999998</v>
      </c>
      <c r="N10" s="29">
        <f t="shared" si="1"/>
        <v>35.83</v>
      </c>
    </row>
    <row r="11" spans="2:26" x14ac:dyDescent="0.25">
      <c r="B11" s="217"/>
      <c r="C11" s="15" t="s">
        <v>93</v>
      </c>
      <c r="D11" s="9" t="s">
        <v>94</v>
      </c>
      <c r="E11" s="103">
        <v>180</v>
      </c>
      <c r="F11" s="25">
        <v>200</v>
      </c>
      <c r="G11" s="17">
        <f>E11*1.65/100</f>
        <v>2.97</v>
      </c>
      <c r="H11" s="27">
        <f>F11*1.65/100</f>
        <v>3.3</v>
      </c>
      <c r="I11" s="17">
        <f>E11*1.45/100</f>
        <v>2.61</v>
      </c>
      <c r="J11" s="27">
        <f>F11*1.45/100</f>
        <v>2.9</v>
      </c>
      <c r="K11" s="17">
        <f>E11*6.9/100</f>
        <v>12.42</v>
      </c>
      <c r="L11" s="27">
        <f>F11*6.9/100</f>
        <v>13.8</v>
      </c>
      <c r="M11" s="17">
        <f t="shared" si="1"/>
        <v>85.05</v>
      </c>
      <c r="N11" s="29">
        <f t="shared" si="1"/>
        <v>94.5</v>
      </c>
    </row>
    <row r="12" spans="2:26" x14ac:dyDescent="0.25">
      <c r="B12" s="217"/>
      <c r="C12" s="23"/>
      <c r="D12" s="4" t="s">
        <v>13</v>
      </c>
      <c r="E12" s="21">
        <f t="shared" ref="E12:L12" si="2">SUM(E8:E11)</f>
        <v>353</v>
      </c>
      <c r="F12" s="26">
        <f t="shared" si="2"/>
        <v>400</v>
      </c>
      <c r="G12" s="7">
        <f t="shared" si="2"/>
        <v>10.943</v>
      </c>
      <c r="H12" s="28">
        <f t="shared" si="2"/>
        <v>12.718</v>
      </c>
      <c r="I12" s="7">
        <f t="shared" si="2"/>
        <v>10.188999999999998</v>
      </c>
      <c r="J12" s="28">
        <f t="shared" si="2"/>
        <v>11.856</v>
      </c>
      <c r="K12" s="7">
        <f t="shared" si="2"/>
        <v>46.592000000000006</v>
      </c>
      <c r="L12" s="28">
        <f t="shared" si="2"/>
        <v>53.588000000000008</v>
      </c>
      <c r="M12" s="7">
        <f>G12*4+I12*9+K12*4</f>
        <v>321.84100000000001</v>
      </c>
      <c r="N12" s="30">
        <f t="shared" si="1"/>
        <v>371.928</v>
      </c>
    </row>
    <row r="13" spans="2:26" x14ac:dyDescent="0.25">
      <c r="B13" s="217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  <row r="14" spans="2:26" x14ac:dyDescent="0.25">
      <c r="B14" s="217"/>
      <c r="C14" s="15" t="s">
        <v>168</v>
      </c>
      <c r="D14" s="9" t="s">
        <v>214</v>
      </c>
      <c r="E14" s="103">
        <v>100</v>
      </c>
      <c r="F14" s="24">
        <v>120</v>
      </c>
      <c r="G14" s="17">
        <f>E14*3/100</f>
        <v>3</v>
      </c>
      <c r="H14" s="27">
        <f>F14*3/100</f>
        <v>3.6</v>
      </c>
      <c r="I14" s="17">
        <f>E14*2.5/100</f>
        <v>2.5</v>
      </c>
      <c r="J14" s="27">
        <f>F14*2.5/100</f>
        <v>3</v>
      </c>
      <c r="K14" s="17">
        <f>E14*11/100</f>
        <v>11</v>
      </c>
      <c r="L14" s="27">
        <f>F14*11/100</f>
        <v>13.2</v>
      </c>
      <c r="M14" s="17">
        <f t="shared" ref="M14:N14" si="3">G14*4+I14*9+K14*4</f>
        <v>78.5</v>
      </c>
      <c r="N14" s="29">
        <f t="shared" si="3"/>
        <v>94.199999999999989</v>
      </c>
    </row>
    <row r="15" spans="2:26" x14ac:dyDescent="0.25">
      <c r="B15" s="217"/>
      <c r="C15" s="15"/>
      <c r="D15" s="4" t="s">
        <v>84</v>
      </c>
      <c r="E15" s="21">
        <f t="shared" ref="E15:L15" si="4">SUM(E14)</f>
        <v>100</v>
      </c>
      <c r="F15" s="26">
        <f t="shared" si="4"/>
        <v>120</v>
      </c>
      <c r="G15" s="7">
        <f t="shared" si="4"/>
        <v>3</v>
      </c>
      <c r="H15" s="28">
        <f t="shared" si="4"/>
        <v>3.6</v>
      </c>
      <c r="I15" s="7">
        <f t="shared" si="4"/>
        <v>2.5</v>
      </c>
      <c r="J15" s="28">
        <f t="shared" si="4"/>
        <v>3</v>
      </c>
      <c r="K15" s="7">
        <f t="shared" si="4"/>
        <v>11</v>
      </c>
      <c r="L15" s="28">
        <f t="shared" si="4"/>
        <v>13.2</v>
      </c>
      <c r="M15" s="7">
        <f>G15*4+I15*9+K15*4</f>
        <v>78.5</v>
      </c>
      <c r="N15" s="30">
        <f>H15*4+J15*9+L15*4</f>
        <v>94.199999999999989</v>
      </c>
    </row>
    <row r="16" spans="2:26" x14ac:dyDescent="0.25">
      <c r="B16" s="217"/>
      <c r="C16" s="200" t="s">
        <v>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2:14" x14ac:dyDescent="0.25">
      <c r="B17" s="217"/>
      <c r="C17" s="55" t="s">
        <v>241</v>
      </c>
      <c r="D17" s="9" t="s">
        <v>242</v>
      </c>
      <c r="E17" s="108">
        <v>30</v>
      </c>
      <c r="F17" s="31">
        <v>50</v>
      </c>
      <c r="G17" s="17">
        <f>E17*1.4/100</f>
        <v>0.42</v>
      </c>
      <c r="H17" s="27">
        <f>F17*1.4/100</f>
        <v>0.7</v>
      </c>
      <c r="I17" s="17">
        <f>E17*6.1/100</f>
        <v>1.83</v>
      </c>
      <c r="J17" s="27">
        <f>F17*6.1/100</f>
        <v>3.05</v>
      </c>
      <c r="K17" s="17">
        <f>E17*7.63/100</f>
        <v>2.2890000000000001</v>
      </c>
      <c r="L17" s="27">
        <f>F17*7.63/100</f>
        <v>3.8149999999999999</v>
      </c>
      <c r="M17" s="19">
        <f t="shared" ref="M17:N17" si="5">G17*4+I17*9+K17*4</f>
        <v>27.305999999999997</v>
      </c>
      <c r="N17" s="34">
        <f t="shared" si="5"/>
        <v>45.51</v>
      </c>
    </row>
    <row r="18" spans="2:14" x14ac:dyDescent="0.25">
      <c r="B18" s="217"/>
      <c r="C18" s="44" t="s">
        <v>98</v>
      </c>
      <c r="D18" s="9" t="s">
        <v>99</v>
      </c>
      <c r="E18" s="103">
        <v>150</v>
      </c>
      <c r="F18" s="31">
        <v>180</v>
      </c>
      <c r="G18" s="17">
        <f>E18*2.25/100</f>
        <v>3.375</v>
      </c>
      <c r="H18" s="27">
        <f>F18*2.25/100</f>
        <v>4.05</v>
      </c>
      <c r="I18" s="17">
        <f>E18*2.04/100</f>
        <v>3.06</v>
      </c>
      <c r="J18" s="27">
        <f>F18*2.04/100</f>
        <v>3.6719999999999997</v>
      </c>
      <c r="K18" s="17">
        <f>E18*5.3/100</f>
        <v>7.95</v>
      </c>
      <c r="L18" s="27">
        <f>F18*5.3/100</f>
        <v>9.5399999999999991</v>
      </c>
      <c r="M18" s="19">
        <f t="shared" ref="M18:N23" si="6">G18*4+I18*9+K18*4</f>
        <v>72.84</v>
      </c>
      <c r="N18" s="34">
        <f t="shared" si="6"/>
        <v>87.407999999999987</v>
      </c>
    </row>
    <row r="19" spans="2:14" x14ac:dyDescent="0.25">
      <c r="B19" s="217"/>
      <c r="C19" s="15" t="s">
        <v>18</v>
      </c>
      <c r="D19" s="9" t="s">
        <v>19</v>
      </c>
      <c r="E19" s="103">
        <v>120</v>
      </c>
      <c r="F19" s="25">
        <v>150</v>
      </c>
      <c r="G19" s="17">
        <f>E19*2.1/100</f>
        <v>2.52</v>
      </c>
      <c r="H19" s="27">
        <f>F19*2.1/100</f>
        <v>3.15</v>
      </c>
      <c r="I19" s="17">
        <f>E19*3.5/100</f>
        <v>4.2</v>
      </c>
      <c r="J19" s="27">
        <f>F19*3.5/100</f>
        <v>5.25</v>
      </c>
      <c r="K19" s="17">
        <f>E19*14.6/100</f>
        <v>17.52</v>
      </c>
      <c r="L19" s="27">
        <f>F19*14.6/100</f>
        <v>21.9</v>
      </c>
      <c r="M19" s="17">
        <f t="shared" si="6"/>
        <v>117.96000000000001</v>
      </c>
      <c r="N19" s="29">
        <f t="shared" si="6"/>
        <v>147.44999999999999</v>
      </c>
    </row>
    <row r="20" spans="2:14" x14ac:dyDescent="0.25">
      <c r="B20" s="217"/>
      <c r="C20" s="15" t="s">
        <v>243</v>
      </c>
      <c r="D20" s="9" t="s">
        <v>244</v>
      </c>
      <c r="E20" s="108">
        <v>50</v>
      </c>
      <c r="F20" s="25">
        <v>70</v>
      </c>
      <c r="G20" s="17">
        <f>E20*12.8/100</f>
        <v>6.4</v>
      </c>
      <c r="H20" s="27">
        <f>F20*12.8/100</f>
        <v>8.9600000000000009</v>
      </c>
      <c r="I20" s="17">
        <f>E20*13.6/100</f>
        <v>6.8</v>
      </c>
      <c r="J20" s="27">
        <f>F20*13.6/100</f>
        <v>9.52</v>
      </c>
      <c r="K20" s="17">
        <f>E20*9.9/100</f>
        <v>4.95</v>
      </c>
      <c r="L20" s="27">
        <f>F20*9.9/100</f>
        <v>6.93</v>
      </c>
      <c r="M20" s="17">
        <f t="shared" si="6"/>
        <v>106.6</v>
      </c>
      <c r="N20" s="29">
        <f t="shared" si="6"/>
        <v>149.24</v>
      </c>
    </row>
    <row r="21" spans="2:14" x14ac:dyDescent="0.25">
      <c r="B21" s="217"/>
      <c r="C21" s="15" t="s">
        <v>52</v>
      </c>
      <c r="D21" s="9" t="s">
        <v>53</v>
      </c>
      <c r="E21" s="103">
        <v>150</v>
      </c>
      <c r="F21" s="25">
        <v>180</v>
      </c>
      <c r="G21" s="17">
        <f>E21*0.6/200</f>
        <v>0.45</v>
      </c>
      <c r="H21" s="27">
        <f>F21*0.6/200</f>
        <v>0.54</v>
      </c>
      <c r="I21" s="17">
        <f t="shared" ref="I21:J21" si="7">E21*0.1/200</f>
        <v>7.4999999999999997E-2</v>
      </c>
      <c r="J21" s="27">
        <f t="shared" si="7"/>
        <v>0.09</v>
      </c>
      <c r="K21" s="17">
        <f>E21*20.1/200</f>
        <v>15.074999999999999</v>
      </c>
      <c r="L21" s="27">
        <f>F21*20.1/200</f>
        <v>18.090000000000003</v>
      </c>
      <c r="M21" s="17">
        <f t="shared" si="6"/>
        <v>62.774999999999999</v>
      </c>
      <c r="N21" s="29">
        <f t="shared" si="6"/>
        <v>75.330000000000013</v>
      </c>
    </row>
    <row r="22" spans="2:14" x14ac:dyDescent="0.25">
      <c r="B22" s="217"/>
      <c r="C22" s="16" t="s">
        <v>165</v>
      </c>
      <c r="D22" s="6" t="s">
        <v>21</v>
      </c>
      <c r="E22" s="63">
        <v>25</v>
      </c>
      <c r="F22" s="60">
        <v>30</v>
      </c>
      <c r="G22" s="17">
        <f>E22*8/100</f>
        <v>2</v>
      </c>
      <c r="H22" s="27">
        <f>F22*8/100</f>
        <v>2.4</v>
      </c>
      <c r="I22" s="17">
        <f>E22*1.5/100</f>
        <v>0.375</v>
      </c>
      <c r="J22" s="27">
        <f>F22*1.5/100</f>
        <v>0.45</v>
      </c>
      <c r="K22" s="17">
        <f>E22*40.1/100</f>
        <v>10.025</v>
      </c>
      <c r="L22" s="27">
        <f>F22*40.1/100</f>
        <v>12.03</v>
      </c>
      <c r="M22" s="17">
        <f t="shared" si="6"/>
        <v>51.475000000000001</v>
      </c>
      <c r="N22" s="29">
        <f t="shared" si="6"/>
        <v>61.769999999999996</v>
      </c>
    </row>
    <row r="23" spans="2:14" x14ac:dyDescent="0.25">
      <c r="B23" s="217"/>
      <c r="C23" s="16" t="s">
        <v>163</v>
      </c>
      <c r="D23" s="6" t="s">
        <v>164</v>
      </c>
      <c r="E23" s="63">
        <v>25</v>
      </c>
      <c r="F23" s="60">
        <v>40</v>
      </c>
      <c r="G23" s="17">
        <f>E23*7.6/100</f>
        <v>1.9</v>
      </c>
      <c r="H23" s="27">
        <f>F23*7.6/100</f>
        <v>3.04</v>
      </c>
      <c r="I23" s="17">
        <f>E23*0.8/100</f>
        <v>0.2</v>
      </c>
      <c r="J23" s="27">
        <f>F23*0.8/100</f>
        <v>0.32</v>
      </c>
      <c r="K23" s="17">
        <f>E23*49.2/100</f>
        <v>12.3</v>
      </c>
      <c r="L23" s="27">
        <f>F23*49.2/100</f>
        <v>19.68</v>
      </c>
      <c r="M23" s="17">
        <f t="shared" si="6"/>
        <v>58.6</v>
      </c>
      <c r="N23" s="29">
        <f t="shared" si="6"/>
        <v>93.759999999999991</v>
      </c>
    </row>
    <row r="24" spans="2:14" x14ac:dyDescent="0.25">
      <c r="B24" s="217"/>
      <c r="C24" s="16"/>
      <c r="D24" s="4" t="s">
        <v>14</v>
      </c>
      <c r="E24" s="21">
        <f t="shared" ref="E24:N24" si="8">SUM(E17:E23)</f>
        <v>550</v>
      </c>
      <c r="F24" s="32">
        <f t="shared" si="8"/>
        <v>700</v>
      </c>
      <c r="G24" s="7">
        <f t="shared" si="8"/>
        <v>17.064999999999998</v>
      </c>
      <c r="H24" s="28">
        <f t="shared" si="8"/>
        <v>22.839999999999996</v>
      </c>
      <c r="I24" s="7">
        <f t="shared" si="8"/>
        <v>16.54</v>
      </c>
      <c r="J24" s="28">
        <f t="shared" si="8"/>
        <v>22.351999999999997</v>
      </c>
      <c r="K24" s="7">
        <f t="shared" si="8"/>
        <v>70.109000000000009</v>
      </c>
      <c r="L24" s="28">
        <f t="shared" si="8"/>
        <v>91.984999999999985</v>
      </c>
      <c r="M24" s="7">
        <f t="shared" si="8"/>
        <v>497.55600000000004</v>
      </c>
      <c r="N24" s="30">
        <f t="shared" si="8"/>
        <v>660.46799999999996</v>
      </c>
    </row>
    <row r="25" spans="2:14" x14ac:dyDescent="0.25">
      <c r="B25" s="217"/>
      <c r="C25" s="213" t="s">
        <v>88</v>
      </c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5"/>
    </row>
    <row r="26" spans="2:14" x14ac:dyDescent="0.25">
      <c r="B26" s="217"/>
      <c r="C26" s="104" t="s">
        <v>144</v>
      </c>
      <c r="D26" s="86" t="s">
        <v>145</v>
      </c>
      <c r="E26" s="103">
        <v>60</v>
      </c>
      <c r="F26" s="24">
        <v>70</v>
      </c>
      <c r="G26" s="17">
        <f>E26*17.1/100</f>
        <v>10.26</v>
      </c>
      <c r="H26" s="27">
        <f>F26*17.1/100</f>
        <v>11.97</v>
      </c>
      <c r="I26" s="17">
        <f>E26*12.2/100</f>
        <v>7.32</v>
      </c>
      <c r="J26" s="27">
        <f>F26*12.2/100</f>
        <v>8.5399999999999991</v>
      </c>
      <c r="K26" s="17">
        <f>E26*15.5/100</f>
        <v>9.3000000000000007</v>
      </c>
      <c r="L26" s="27">
        <f>F26*15.5/100</f>
        <v>10.85</v>
      </c>
      <c r="M26" s="17">
        <f t="shared" ref="M26:N28" si="9">G26*4+I26*9+K26*4</f>
        <v>144.12</v>
      </c>
      <c r="N26" s="29">
        <f t="shared" si="9"/>
        <v>168.14</v>
      </c>
    </row>
    <row r="27" spans="2:14" x14ac:dyDescent="0.25">
      <c r="B27" s="217"/>
      <c r="C27" s="104" t="s">
        <v>35</v>
      </c>
      <c r="D27" s="47" t="s">
        <v>169</v>
      </c>
      <c r="E27" s="103">
        <v>15</v>
      </c>
      <c r="F27" s="48">
        <v>20</v>
      </c>
      <c r="G27" s="17">
        <f>E27*5/100</f>
        <v>0.75</v>
      </c>
      <c r="H27" s="27">
        <f>F27*5/100</f>
        <v>1</v>
      </c>
      <c r="I27" s="17">
        <f>E27*8.5/100</f>
        <v>1.2749999999999999</v>
      </c>
      <c r="J27" s="27">
        <f>F27*8.5/100</f>
        <v>1.7</v>
      </c>
      <c r="K27" s="17">
        <f>E27*56/100</f>
        <v>8.4</v>
      </c>
      <c r="L27" s="27">
        <f>F27*56/100</f>
        <v>11.2</v>
      </c>
      <c r="M27" s="17">
        <f t="shared" si="9"/>
        <v>48.075000000000003</v>
      </c>
      <c r="N27" s="29">
        <f t="shared" si="9"/>
        <v>64.099999999999994</v>
      </c>
    </row>
    <row r="28" spans="2:14" x14ac:dyDescent="0.25">
      <c r="B28" s="217"/>
      <c r="C28" s="15" t="s">
        <v>45</v>
      </c>
      <c r="D28" s="9" t="s">
        <v>95</v>
      </c>
      <c r="E28" s="103">
        <v>150</v>
      </c>
      <c r="F28" s="25">
        <v>180</v>
      </c>
      <c r="G28" s="17">
        <f>E28*0.67/200</f>
        <v>0.50249999999999995</v>
      </c>
      <c r="H28" s="27">
        <f>F28*0.67/200</f>
        <v>0.60300000000000009</v>
      </c>
      <c r="I28" s="17">
        <f>E28*0.27/200</f>
        <v>0.20250000000000001</v>
      </c>
      <c r="J28" s="27">
        <f>F28*0.27/200</f>
        <v>0.24299999999999999</v>
      </c>
      <c r="K28" s="17">
        <f>E28*18.3/200</f>
        <v>13.725</v>
      </c>
      <c r="L28" s="27">
        <f>F28*18.3/200</f>
        <v>16.47</v>
      </c>
      <c r="M28" s="17">
        <f t="shared" si="9"/>
        <v>58.732500000000002</v>
      </c>
      <c r="N28" s="29">
        <f t="shared" si="9"/>
        <v>70.478999999999999</v>
      </c>
    </row>
    <row r="29" spans="2:14" x14ac:dyDescent="0.25">
      <c r="B29" s="217"/>
      <c r="C29" s="42"/>
      <c r="D29" s="49" t="s">
        <v>85</v>
      </c>
      <c r="E29" s="50">
        <f t="shared" ref="E29:N29" si="10">SUM(E26:E28)</f>
        <v>225</v>
      </c>
      <c r="F29" s="51">
        <f t="shared" si="10"/>
        <v>270</v>
      </c>
      <c r="G29" s="52">
        <f t="shared" si="10"/>
        <v>11.512499999999999</v>
      </c>
      <c r="H29" s="53">
        <f t="shared" si="10"/>
        <v>13.573</v>
      </c>
      <c r="I29" s="52">
        <f t="shared" si="10"/>
        <v>8.7975000000000012</v>
      </c>
      <c r="J29" s="53">
        <f t="shared" si="10"/>
        <v>10.482999999999999</v>
      </c>
      <c r="K29" s="52">
        <f t="shared" si="10"/>
        <v>31.425000000000004</v>
      </c>
      <c r="L29" s="53">
        <f t="shared" si="10"/>
        <v>38.519999999999996</v>
      </c>
      <c r="M29" s="52">
        <f t="shared" si="10"/>
        <v>250.92750000000001</v>
      </c>
      <c r="N29" s="54">
        <f t="shared" si="10"/>
        <v>302.71899999999999</v>
      </c>
    </row>
    <row r="30" spans="2:14" ht="15.75" thickBot="1" x14ac:dyDescent="0.3">
      <c r="B30" s="218"/>
      <c r="C30" s="22"/>
      <c r="D30" s="13" t="s">
        <v>12</v>
      </c>
      <c r="E30" s="18"/>
      <c r="F30" s="43"/>
      <c r="G30" s="14">
        <f t="shared" ref="G30:N30" si="11">G29+G24+G15+G12</f>
        <v>42.520499999999998</v>
      </c>
      <c r="H30" s="33">
        <f t="shared" si="11"/>
        <v>52.730999999999995</v>
      </c>
      <c r="I30" s="14">
        <f t="shared" si="11"/>
        <v>38.026499999999999</v>
      </c>
      <c r="J30" s="33">
        <f t="shared" si="11"/>
        <v>47.690999999999995</v>
      </c>
      <c r="K30" s="14">
        <f t="shared" si="11"/>
        <v>159.12600000000003</v>
      </c>
      <c r="L30" s="33">
        <f t="shared" si="11"/>
        <v>197.29300000000001</v>
      </c>
      <c r="M30" s="14">
        <f t="shared" si="11"/>
        <v>1148.8245000000002</v>
      </c>
      <c r="N30" s="35">
        <f t="shared" si="11"/>
        <v>1429.3150000000001</v>
      </c>
    </row>
    <row r="31" spans="2:14" x14ac:dyDescent="0.25">
      <c r="B31" s="194"/>
      <c r="C31" s="194"/>
      <c r="D31" s="194"/>
      <c r="E31" s="194"/>
    </row>
    <row r="33" spans="4:6" x14ac:dyDescent="0.25">
      <c r="D33" s="12" t="s">
        <v>22</v>
      </c>
    </row>
    <row r="36" spans="4:6" x14ac:dyDescent="0.25">
      <c r="F36" s="12" t="s">
        <v>22</v>
      </c>
    </row>
    <row r="42" spans="4:6" x14ac:dyDescent="0.25">
      <c r="F42" s="1"/>
    </row>
    <row r="50" spans="10:10" x14ac:dyDescent="0.25">
      <c r="J50" s="1"/>
    </row>
  </sheetData>
  <mergeCells count="16">
    <mergeCell ref="M4:N5"/>
    <mergeCell ref="G5:H5"/>
    <mergeCell ref="B3:E3"/>
    <mergeCell ref="B31:E31"/>
    <mergeCell ref="I5:J5"/>
    <mergeCell ref="K5:L5"/>
    <mergeCell ref="B4:B6"/>
    <mergeCell ref="C4:C6"/>
    <mergeCell ref="D4:D6"/>
    <mergeCell ref="E4:F5"/>
    <mergeCell ref="G4:L4"/>
    <mergeCell ref="B7:B30"/>
    <mergeCell ref="C7:N7"/>
    <mergeCell ref="C13:N13"/>
    <mergeCell ref="C16:N16"/>
    <mergeCell ref="C25:N25"/>
  </mergeCells>
  <pageMargins left="0.7" right="0.7" top="0.75" bottom="0.75" header="0.3" footer="0.3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B3:Z29"/>
  <sheetViews>
    <sheetView zoomScale="90" zoomScaleNormal="90" zoomScalePageLayoutView="90" workbookViewId="0">
      <selection activeCell="F20" sqref="F20"/>
    </sheetView>
  </sheetViews>
  <sheetFormatPr defaultColWidth="9.140625" defaultRowHeight="15" x14ac:dyDescent="0.25"/>
  <cols>
    <col min="1" max="1" width="5.42578125" style="12" customWidth="1"/>
    <col min="2" max="2" width="2.7109375" style="12" customWidth="1"/>
    <col min="3" max="3" width="10.5703125" style="12" customWidth="1"/>
    <col min="4" max="4" width="35.285156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17.25" customHeight="1" thickBot="1" x14ac:dyDescent="0.3">
      <c r="B3" s="194" t="s">
        <v>17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7.75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4.25" customHeight="1" x14ac:dyDescent="0.25">
      <c r="B7" s="216" t="s">
        <v>39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ht="14.25" customHeight="1" x14ac:dyDescent="0.25">
      <c r="B8" s="217"/>
      <c r="C8" s="110" t="s">
        <v>57</v>
      </c>
      <c r="D8" s="40" t="s">
        <v>16</v>
      </c>
      <c r="E8" s="108">
        <v>140</v>
      </c>
      <c r="F8" s="25">
        <v>160</v>
      </c>
      <c r="G8" s="17">
        <f>E8*2.5/100</f>
        <v>3.5</v>
      </c>
      <c r="H8" s="27">
        <f>F8*2.5/100</f>
        <v>4</v>
      </c>
      <c r="I8" s="17">
        <f>E8*3.18/100</f>
        <v>4.4520000000000008</v>
      </c>
      <c r="J8" s="27">
        <f>F8*3.18/100</f>
        <v>5.0880000000000001</v>
      </c>
      <c r="K8" s="17">
        <f>E8*15.7/100</f>
        <v>21.98</v>
      </c>
      <c r="L8" s="27">
        <f>F8*15.7/100</f>
        <v>25.12</v>
      </c>
      <c r="M8" s="17">
        <f t="shared" ref="M8:N8" si="0">G8*4+I8*9+K8*4</f>
        <v>141.988</v>
      </c>
      <c r="N8" s="29">
        <f t="shared" si="0"/>
        <v>162.27199999999999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ht="14.25" customHeight="1" x14ac:dyDescent="0.25">
      <c r="B9" s="217"/>
      <c r="C9" s="16" t="s">
        <v>211</v>
      </c>
      <c r="D9" s="92" t="s">
        <v>212</v>
      </c>
      <c r="E9" s="63">
        <v>25</v>
      </c>
      <c r="F9" s="60">
        <v>35</v>
      </c>
      <c r="G9" s="93">
        <f>E9*7.5/100</f>
        <v>1.875</v>
      </c>
      <c r="H9" s="37">
        <f>F9*7.5/100</f>
        <v>2.625</v>
      </c>
      <c r="I9" s="94">
        <f>E9*2.9/100</f>
        <v>0.72499999999999998</v>
      </c>
      <c r="J9" s="27">
        <f>F9*2.9/100</f>
        <v>1.0149999999999999</v>
      </c>
      <c r="K9" s="94">
        <f>E9*51.4/100</f>
        <v>12.85</v>
      </c>
      <c r="L9" s="27">
        <f>F9*51.4/100</f>
        <v>17.989999999999998</v>
      </c>
      <c r="M9" s="94">
        <f t="shared" ref="M9:N9" si="1">G9*4+I9*9+K9*4</f>
        <v>65.424999999999997</v>
      </c>
      <c r="N9" s="29">
        <f t="shared" si="1"/>
        <v>91.594999999999999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ht="14.25" customHeight="1" x14ac:dyDescent="0.25">
      <c r="B10" s="217"/>
      <c r="C10" s="16" t="s">
        <v>35</v>
      </c>
      <c r="D10" s="47" t="s">
        <v>90</v>
      </c>
      <c r="E10" s="39">
        <v>15</v>
      </c>
      <c r="F10" s="48">
        <v>20</v>
      </c>
      <c r="G10" s="20">
        <f>E10*0/10</f>
        <v>0</v>
      </c>
      <c r="H10" s="61">
        <f>F10*0/10</f>
        <v>0</v>
      </c>
      <c r="I10" s="20">
        <f>E10*0/10</f>
        <v>0</v>
      </c>
      <c r="J10" s="61">
        <f>F10*0/10</f>
        <v>0</v>
      </c>
      <c r="K10" s="17">
        <f>E10*61/100</f>
        <v>9.15</v>
      </c>
      <c r="L10" s="27">
        <f>F10*61/100</f>
        <v>12.2</v>
      </c>
      <c r="M10" s="17">
        <f t="shared" ref="M10:N12" si="2">G10*4+I10*9+K10*4</f>
        <v>36.6</v>
      </c>
      <c r="N10" s="29">
        <f t="shared" si="2"/>
        <v>48.8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ht="14.25" customHeight="1" x14ac:dyDescent="0.25">
      <c r="B11" s="217"/>
      <c r="C11" s="15" t="s">
        <v>91</v>
      </c>
      <c r="D11" s="9" t="s">
        <v>92</v>
      </c>
      <c r="E11" s="39">
        <v>180</v>
      </c>
      <c r="F11" s="25">
        <v>200</v>
      </c>
      <c r="G11" s="17">
        <f>E11*1.4/200</f>
        <v>1.2599999999999998</v>
      </c>
      <c r="H11" s="27">
        <f>F11*1.4/200</f>
        <v>1.4</v>
      </c>
      <c r="I11" s="17">
        <f>E11*1.2/200</f>
        <v>1.08</v>
      </c>
      <c r="J11" s="27">
        <f>F11*1.2/200</f>
        <v>1.2</v>
      </c>
      <c r="K11" s="17">
        <f>E11*11.4/200</f>
        <v>10.26</v>
      </c>
      <c r="L11" s="27">
        <f>F11*11.4/200</f>
        <v>11.4</v>
      </c>
      <c r="M11" s="17">
        <f t="shared" si="2"/>
        <v>55.8</v>
      </c>
      <c r="N11" s="29">
        <f t="shared" si="2"/>
        <v>62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ht="14.25" customHeight="1" x14ac:dyDescent="0.25">
      <c r="B12" s="217"/>
      <c r="C12" s="23"/>
      <c r="D12" s="4" t="s">
        <v>13</v>
      </c>
      <c r="E12" s="21">
        <f t="shared" ref="E12:K12" si="3">SUM(E8:E11)</f>
        <v>360</v>
      </c>
      <c r="F12" s="26">
        <f t="shared" si="3"/>
        <v>415</v>
      </c>
      <c r="G12" s="7">
        <f>SUM(G8:G11)</f>
        <v>6.6349999999999998</v>
      </c>
      <c r="H12" s="28">
        <f t="shared" si="3"/>
        <v>8.0250000000000004</v>
      </c>
      <c r="I12" s="7">
        <f t="shared" si="3"/>
        <v>6.2570000000000006</v>
      </c>
      <c r="J12" s="28">
        <f t="shared" si="3"/>
        <v>7.3029999999999999</v>
      </c>
      <c r="K12" s="7">
        <f t="shared" si="3"/>
        <v>54.239999999999995</v>
      </c>
      <c r="L12" s="28">
        <f>SUM(L8:L11)</f>
        <v>66.710000000000008</v>
      </c>
      <c r="M12" s="7">
        <f>G12*4+I12*9+K12*4</f>
        <v>299.81299999999999</v>
      </c>
      <c r="N12" s="30">
        <f t="shared" si="2"/>
        <v>364.66700000000003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ht="14.25" customHeight="1" x14ac:dyDescent="0.25">
      <c r="B13" s="217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ht="14.25" customHeight="1" x14ac:dyDescent="0.25">
      <c r="B14" s="217"/>
      <c r="C14" s="16" t="s">
        <v>215</v>
      </c>
      <c r="D14" s="6" t="s">
        <v>216</v>
      </c>
      <c r="E14" s="89">
        <v>150</v>
      </c>
      <c r="F14" s="25">
        <v>150</v>
      </c>
      <c r="G14" s="17">
        <f>E14*0.4/100</f>
        <v>0.6</v>
      </c>
      <c r="H14" s="27">
        <f>F14*0.4/100</f>
        <v>0.6</v>
      </c>
      <c r="I14" s="17">
        <f>E14*0.4/100</f>
        <v>0.6</v>
      </c>
      <c r="J14" s="27">
        <f>F14*0.4/100</f>
        <v>0.6</v>
      </c>
      <c r="K14" s="17">
        <f>E14*9.8/100</f>
        <v>14.7</v>
      </c>
      <c r="L14" s="27">
        <f>F14*9.8/100</f>
        <v>14.7</v>
      </c>
      <c r="M14" s="17">
        <f t="shared" ref="M14:N14" si="4">G14*4+I14*9+K14*4</f>
        <v>66.599999999999994</v>
      </c>
      <c r="N14" s="29">
        <f t="shared" si="4"/>
        <v>66.599999999999994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ht="14.25" customHeight="1" x14ac:dyDescent="0.25">
      <c r="B15" s="217"/>
      <c r="C15" s="15"/>
      <c r="D15" s="4" t="s">
        <v>84</v>
      </c>
      <c r="E15" s="21">
        <f t="shared" ref="E15:L15" si="5">SUM(E14)</f>
        <v>150</v>
      </c>
      <c r="F15" s="26">
        <f t="shared" si="5"/>
        <v>150</v>
      </c>
      <c r="G15" s="7">
        <f t="shared" si="5"/>
        <v>0.6</v>
      </c>
      <c r="H15" s="28">
        <f t="shared" si="5"/>
        <v>0.6</v>
      </c>
      <c r="I15" s="7">
        <f t="shared" si="5"/>
        <v>0.6</v>
      </c>
      <c r="J15" s="28">
        <f t="shared" si="5"/>
        <v>0.6</v>
      </c>
      <c r="K15" s="7">
        <f t="shared" si="5"/>
        <v>14.7</v>
      </c>
      <c r="L15" s="28">
        <f t="shared" si="5"/>
        <v>14.7</v>
      </c>
      <c r="M15" s="7">
        <f>G15*4+I15*9+K15*4</f>
        <v>66.599999999999994</v>
      </c>
      <c r="N15" s="30">
        <f>H15*4+J15*9+L15*4</f>
        <v>66.599999999999994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ht="14.25" customHeight="1" x14ac:dyDescent="0.25">
      <c r="B16" s="217"/>
      <c r="C16" s="200" t="s">
        <v>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  <c r="O16" s="1"/>
      <c r="P16" s="3"/>
      <c r="Q16" s="5" t="s">
        <v>22</v>
      </c>
      <c r="R16" s="5"/>
      <c r="S16" s="5"/>
      <c r="T16" s="5"/>
      <c r="U16" s="1"/>
      <c r="V16" s="3"/>
      <c r="W16" s="5"/>
      <c r="X16" s="5"/>
      <c r="Y16" s="5"/>
      <c r="Z16" s="5"/>
    </row>
    <row r="17" spans="2:26" ht="24.75" customHeight="1" x14ac:dyDescent="0.25">
      <c r="B17" s="217"/>
      <c r="C17" s="15" t="s">
        <v>253</v>
      </c>
      <c r="D17" s="8" t="s">
        <v>254</v>
      </c>
      <c r="E17" s="111">
        <v>30</v>
      </c>
      <c r="F17" s="36">
        <v>50</v>
      </c>
      <c r="G17" s="19">
        <f>E17*2.1/100</f>
        <v>0.63</v>
      </c>
      <c r="H17" s="37">
        <f>F17*2.1/100</f>
        <v>1.05</v>
      </c>
      <c r="I17" s="19">
        <f>E17*6.3/100</f>
        <v>1.89</v>
      </c>
      <c r="J17" s="37">
        <f>F17*6.3/100</f>
        <v>3.15</v>
      </c>
      <c r="K17" s="19">
        <f>E17*8.23/100</f>
        <v>2.4689999999999999</v>
      </c>
      <c r="L17" s="37">
        <f>F17*8.23/100</f>
        <v>4.1150000000000002</v>
      </c>
      <c r="M17" s="19">
        <f t="shared" ref="M17:N17" si="6">G17*4+I17*9+K17*4</f>
        <v>29.405999999999999</v>
      </c>
      <c r="N17" s="34">
        <f t="shared" si="6"/>
        <v>49.01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ht="14.25" customHeight="1" x14ac:dyDescent="0.25">
      <c r="B18" s="217"/>
      <c r="C18" s="15" t="s">
        <v>174</v>
      </c>
      <c r="D18" s="8" t="s">
        <v>175</v>
      </c>
      <c r="E18" s="111">
        <v>150</v>
      </c>
      <c r="F18" s="36">
        <v>180</v>
      </c>
      <c r="G18" s="19">
        <f>E18*2.9/250</f>
        <v>1.74</v>
      </c>
      <c r="H18" s="37">
        <f>F18*2.9/250</f>
        <v>2.0880000000000001</v>
      </c>
      <c r="I18" s="19">
        <f>E18*2.5/250</f>
        <v>1.5</v>
      </c>
      <c r="J18" s="37">
        <f>F18*2.5/250</f>
        <v>1.8</v>
      </c>
      <c r="K18" s="19">
        <f>E18*21/250</f>
        <v>12.6</v>
      </c>
      <c r="L18" s="37">
        <f>F18*21/250</f>
        <v>15.12</v>
      </c>
      <c r="M18" s="19">
        <f t="shared" ref="M18" si="7">G18*4+I18*9+K18*4</f>
        <v>70.86</v>
      </c>
      <c r="N18" s="34">
        <f t="shared" ref="N18" si="8">H18*4+J18*9+L18*4</f>
        <v>85.031999999999996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ht="14.25" customHeight="1" x14ac:dyDescent="0.25">
      <c r="B19" s="217"/>
      <c r="C19" s="15" t="s">
        <v>176</v>
      </c>
      <c r="D19" s="8" t="s">
        <v>177</v>
      </c>
      <c r="E19" s="88">
        <v>150</v>
      </c>
      <c r="F19" s="25">
        <v>210</v>
      </c>
      <c r="G19" s="17">
        <f>E19*7.31/100</f>
        <v>10.965</v>
      </c>
      <c r="H19" s="27">
        <f>F19*7.31/100</f>
        <v>15.350999999999999</v>
      </c>
      <c r="I19" s="88">
        <f>E19*9.9/100</f>
        <v>14.85</v>
      </c>
      <c r="J19" s="27">
        <f>F19*9.9/100</f>
        <v>20.79</v>
      </c>
      <c r="K19" s="17">
        <f>E19*6.27/100</f>
        <v>9.4049999999999994</v>
      </c>
      <c r="L19" s="27">
        <f>F19*6.27/100</f>
        <v>13.166999999999998</v>
      </c>
      <c r="M19" s="17">
        <f t="shared" ref="M19:N22" si="9">G19*4+I19*9+K19*4</f>
        <v>215.13</v>
      </c>
      <c r="N19" s="29">
        <f t="shared" si="9"/>
        <v>301.18199999999996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ht="14.25" customHeight="1" x14ac:dyDescent="0.25">
      <c r="B20" s="217"/>
      <c r="C20" s="15" t="s">
        <v>52</v>
      </c>
      <c r="D20" s="9" t="s">
        <v>53</v>
      </c>
      <c r="E20" s="108">
        <v>150</v>
      </c>
      <c r="F20" s="25">
        <v>180</v>
      </c>
      <c r="G20" s="17">
        <f>E20*0.6/200</f>
        <v>0.45</v>
      </c>
      <c r="H20" s="27">
        <f>F20*0.6/200</f>
        <v>0.54</v>
      </c>
      <c r="I20" s="17">
        <f t="shared" ref="I20:J20" si="10">E20*0.1/200</f>
        <v>7.4999999999999997E-2</v>
      </c>
      <c r="J20" s="27">
        <f t="shared" si="10"/>
        <v>0.09</v>
      </c>
      <c r="K20" s="17">
        <f>E20*20.1/200</f>
        <v>15.074999999999999</v>
      </c>
      <c r="L20" s="27">
        <f>F20*20.1/200</f>
        <v>18.090000000000003</v>
      </c>
      <c r="M20" s="17">
        <f t="shared" si="9"/>
        <v>62.774999999999999</v>
      </c>
      <c r="N20" s="29">
        <f t="shared" si="9"/>
        <v>75.330000000000013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ht="14.25" customHeight="1" x14ac:dyDescent="0.25">
      <c r="B21" s="217"/>
      <c r="C21" s="16" t="s">
        <v>165</v>
      </c>
      <c r="D21" s="6" t="s">
        <v>21</v>
      </c>
      <c r="E21" s="63">
        <v>25</v>
      </c>
      <c r="F21" s="60">
        <v>30</v>
      </c>
      <c r="G21" s="17">
        <f>E21*8/100</f>
        <v>2</v>
      </c>
      <c r="H21" s="27">
        <f>F21*8/100</f>
        <v>2.4</v>
      </c>
      <c r="I21" s="17">
        <f>E21*1.5/100</f>
        <v>0.375</v>
      </c>
      <c r="J21" s="27">
        <f>F21*1.5/100</f>
        <v>0.45</v>
      </c>
      <c r="K21" s="17">
        <f>E21*40.1/100</f>
        <v>10.025</v>
      </c>
      <c r="L21" s="27">
        <f>F21*40.1/100</f>
        <v>12.03</v>
      </c>
      <c r="M21" s="17">
        <f t="shared" si="9"/>
        <v>51.475000000000001</v>
      </c>
      <c r="N21" s="29">
        <f t="shared" si="9"/>
        <v>61.769999999999996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ht="14.25" customHeight="1" x14ac:dyDescent="0.25">
      <c r="B22" s="217"/>
      <c r="C22" s="16" t="s">
        <v>163</v>
      </c>
      <c r="D22" s="6" t="s">
        <v>164</v>
      </c>
      <c r="E22" s="63">
        <v>25</v>
      </c>
      <c r="F22" s="60">
        <v>40</v>
      </c>
      <c r="G22" s="17">
        <f>E22*7.6/100</f>
        <v>1.9</v>
      </c>
      <c r="H22" s="27">
        <f>F22*7.6/100</f>
        <v>3.04</v>
      </c>
      <c r="I22" s="17">
        <f>E22*0.8/100</f>
        <v>0.2</v>
      </c>
      <c r="J22" s="27">
        <f>F22*0.8/100</f>
        <v>0.32</v>
      </c>
      <c r="K22" s="17">
        <f>E22*49.2/100</f>
        <v>12.3</v>
      </c>
      <c r="L22" s="27">
        <f>F22*49.2/100</f>
        <v>19.68</v>
      </c>
      <c r="M22" s="17">
        <f t="shared" si="9"/>
        <v>58.6</v>
      </c>
      <c r="N22" s="29">
        <f t="shared" si="9"/>
        <v>93.759999999999991</v>
      </c>
      <c r="O22" s="1"/>
      <c r="P22" s="3"/>
      <c r="Q22" s="5" t="s">
        <v>22</v>
      </c>
      <c r="R22" s="5"/>
      <c r="S22" s="5"/>
      <c r="T22" s="5"/>
      <c r="U22" s="1"/>
      <c r="V22" s="3"/>
      <c r="W22" s="5"/>
      <c r="X22" s="5"/>
      <c r="Y22" s="5"/>
      <c r="Z22" s="5"/>
    </row>
    <row r="23" spans="2:26" ht="14.25" customHeight="1" x14ac:dyDescent="0.25">
      <c r="B23" s="217"/>
      <c r="C23" s="16"/>
      <c r="D23" s="4" t="s">
        <v>14</v>
      </c>
      <c r="E23" s="21">
        <f t="shared" ref="E23:N23" si="11">SUM(E17:E22)</f>
        <v>530</v>
      </c>
      <c r="F23" s="32">
        <f t="shared" si="11"/>
        <v>690</v>
      </c>
      <c r="G23" s="7">
        <f t="shared" si="11"/>
        <v>17.684999999999999</v>
      </c>
      <c r="H23" s="28">
        <f t="shared" si="11"/>
        <v>24.468999999999994</v>
      </c>
      <c r="I23" s="7">
        <f t="shared" si="11"/>
        <v>18.889999999999997</v>
      </c>
      <c r="J23" s="28">
        <f t="shared" si="11"/>
        <v>26.599999999999998</v>
      </c>
      <c r="K23" s="7">
        <f t="shared" si="11"/>
        <v>61.873999999999995</v>
      </c>
      <c r="L23" s="28">
        <f t="shared" si="11"/>
        <v>82.201999999999998</v>
      </c>
      <c r="M23" s="7">
        <f t="shared" si="11"/>
        <v>488.24599999999998</v>
      </c>
      <c r="N23" s="30">
        <f t="shared" si="11"/>
        <v>666.08399999999995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ht="14.25" customHeight="1" x14ac:dyDescent="0.25">
      <c r="B24" s="217"/>
      <c r="C24" s="213" t="s">
        <v>88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ht="14.25" customHeight="1" x14ac:dyDescent="0.25">
      <c r="B25" s="217"/>
      <c r="C25" s="15" t="s">
        <v>105</v>
      </c>
      <c r="D25" s="9" t="s">
        <v>106</v>
      </c>
      <c r="E25" s="88">
        <v>70</v>
      </c>
      <c r="F25" s="25">
        <v>70</v>
      </c>
      <c r="G25" s="17">
        <f>E25*18.2/100</f>
        <v>12.74</v>
      </c>
      <c r="H25" s="27">
        <f>F25*18.2/100</f>
        <v>12.74</v>
      </c>
      <c r="I25" s="17">
        <f>E25*15/100</f>
        <v>10.5</v>
      </c>
      <c r="J25" s="27">
        <f>F25*15/100</f>
        <v>10.5</v>
      </c>
      <c r="K25" s="17">
        <f>E25*3.9/100</f>
        <v>2.73</v>
      </c>
      <c r="L25" s="27">
        <f>F25*3.9/100</f>
        <v>2.73</v>
      </c>
      <c r="M25" s="17">
        <f t="shared" ref="M25:N27" si="12">G25*4+I25*9+K25*4</f>
        <v>156.38</v>
      </c>
      <c r="N25" s="29">
        <f t="shared" si="12"/>
        <v>156.38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ht="14.25" customHeight="1" x14ac:dyDescent="0.25">
      <c r="B26" s="217"/>
      <c r="C26" s="16" t="s">
        <v>163</v>
      </c>
      <c r="D26" s="6" t="s">
        <v>164</v>
      </c>
      <c r="E26" s="63">
        <v>25</v>
      </c>
      <c r="F26" s="60">
        <v>35</v>
      </c>
      <c r="G26" s="17">
        <f>E26*7.6/100</f>
        <v>1.9</v>
      </c>
      <c r="H26" s="27">
        <f>F26*7.6/100</f>
        <v>2.66</v>
      </c>
      <c r="I26" s="17">
        <f>E26*0.8/100</f>
        <v>0.2</v>
      </c>
      <c r="J26" s="27">
        <f>F26*0.8/100</f>
        <v>0.28000000000000003</v>
      </c>
      <c r="K26" s="17">
        <f>E26*49.2/100</f>
        <v>12.3</v>
      </c>
      <c r="L26" s="27">
        <f>F26*49.2/100</f>
        <v>17.22</v>
      </c>
      <c r="M26" s="17">
        <f t="shared" si="12"/>
        <v>58.6</v>
      </c>
      <c r="N26" s="29">
        <f t="shared" si="12"/>
        <v>82.039999999999992</v>
      </c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ht="14.25" customHeight="1" x14ac:dyDescent="0.25">
      <c r="B27" s="217"/>
      <c r="C27" s="16" t="s">
        <v>46</v>
      </c>
      <c r="D27" s="6" t="s">
        <v>11</v>
      </c>
      <c r="E27" s="89">
        <v>150</v>
      </c>
      <c r="F27" s="25">
        <v>180</v>
      </c>
      <c r="G27" s="17">
        <f>E27*0.3/200</f>
        <v>0.22500000000000001</v>
      </c>
      <c r="H27" s="27">
        <f>F27*0.3/200</f>
        <v>0.27</v>
      </c>
      <c r="I27" s="17">
        <f t="shared" ref="I27:J27" si="13">E27*0.1/200</f>
        <v>7.4999999999999997E-2</v>
      </c>
      <c r="J27" s="27">
        <f t="shared" si="13"/>
        <v>0.09</v>
      </c>
      <c r="K27" s="17">
        <f>E27*9.5/200</f>
        <v>7.125</v>
      </c>
      <c r="L27" s="27">
        <f>F27*9.5/200</f>
        <v>8.5500000000000007</v>
      </c>
      <c r="M27" s="17">
        <f t="shared" si="12"/>
        <v>30.074999999999999</v>
      </c>
      <c r="N27" s="29">
        <f t="shared" si="12"/>
        <v>36.090000000000003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ht="14.25" customHeight="1" x14ac:dyDescent="0.25">
      <c r="B28" s="217"/>
      <c r="C28" s="42"/>
      <c r="D28" s="49" t="s">
        <v>85</v>
      </c>
      <c r="E28" s="50">
        <f t="shared" ref="E28:N28" si="14">SUM(E25:E27)</f>
        <v>245</v>
      </c>
      <c r="F28" s="51">
        <f t="shared" si="14"/>
        <v>285</v>
      </c>
      <c r="G28" s="52">
        <f t="shared" si="14"/>
        <v>14.865</v>
      </c>
      <c r="H28" s="53">
        <f t="shared" si="14"/>
        <v>15.67</v>
      </c>
      <c r="I28" s="52">
        <f t="shared" si="14"/>
        <v>10.774999999999999</v>
      </c>
      <c r="J28" s="53">
        <f t="shared" si="14"/>
        <v>10.87</v>
      </c>
      <c r="K28" s="52">
        <f t="shared" si="14"/>
        <v>22.155000000000001</v>
      </c>
      <c r="L28" s="53">
        <f t="shared" si="14"/>
        <v>28.5</v>
      </c>
      <c r="M28" s="52">
        <f t="shared" si="14"/>
        <v>245.05499999999998</v>
      </c>
      <c r="N28" s="54">
        <f t="shared" si="14"/>
        <v>274.51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ht="14.25" customHeight="1" thickBot="1" x14ac:dyDescent="0.3">
      <c r="B29" s="218"/>
      <c r="C29" s="22"/>
      <c r="D29" s="13" t="s">
        <v>12</v>
      </c>
      <c r="E29" s="18"/>
      <c r="F29" s="43"/>
      <c r="G29" s="14">
        <f t="shared" ref="G29:N29" si="15">G28+G23+G15+G12</f>
        <v>39.784999999999997</v>
      </c>
      <c r="H29" s="33">
        <f t="shared" si="15"/>
        <v>48.763999999999996</v>
      </c>
      <c r="I29" s="14">
        <f t="shared" si="15"/>
        <v>36.521999999999998</v>
      </c>
      <c r="J29" s="33">
        <f t="shared" si="15"/>
        <v>45.372999999999998</v>
      </c>
      <c r="K29" s="14">
        <f t="shared" si="15"/>
        <v>152.96899999999999</v>
      </c>
      <c r="L29" s="33">
        <f t="shared" si="15"/>
        <v>192.11200000000002</v>
      </c>
      <c r="M29" s="14">
        <f t="shared" si="15"/>
        <v>1099.7139999999999</v>
      </c>
      <c r="N29" s="35">
        <f t="shared" si="15"/>
        <v>1371.8609999999999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</sheetData>
  <mergeCells count="15">
    <mergeCell ref="B3:E3"/>
    <mergeCell ref="B7:B29"/>
    <mergeCell ref="C7:N7"/>
    <mergeCell ref="C13:N13"/>
    <mergeCell ref="C16:N16"/>
    <mergeCell ref="C24:N24"/>
    <mergeCell ref="M4:N5"/>
    <mergeCell ref="G5:H5"/>
    <mergeCell ref="I5:J5"/>
    <mergeCell ref="K5:L5"/>
    <mergeCell ref="B4:B6"/>
    <mergeCell ref="C4:C6"/>
    <mergeCell ref="D4:D6"/>
    <mergeCell ref="E4:F5"/>
    <mergeCell ref="G4:L4"/>
  </mergeCell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  <pageSetUpPr fitToPage="1"/>
  </sheetPr>
  <dimension ref="B2:Z30"/>
  <sheetViews>
    <sheetView zoomScale="90" zoomScaleNormal="90" zoomScalePageLayoutView="90" workbookViewId="0">
      <selection activeCell="F25" sqref="F25"/>
    </sheetView>
  </sheetViews>
  <sheetFormatPr defaultColWidth="9.140625" defaultRowHeight="15" x14ac:dyDescent="0.25"/>
  <cols>
    <col min="1" max="1" width="5.7109375" style="12" customWidth="1"/>
    <col min="2" max="2" width="2.7109375" style="12" customWidth="1"/>
    <col min="3" max="3" width="10.5703125" style="12" customWidth="1"/>
    <col min="4" max="4" width="35.285156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2" spans="2:26" ht="13.5" customHeight="1" x14ac:dyDescent="0.25"/>
    <row r="3" spans="2:26" ht="16.5" customHeight="1" thickBot="1" x14ac:dyDescent="0.3">
      <c r="B3" s="194" t="s">
        <v>17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1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16" t="s">
        <v>50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</row>
    <row r="8" spans="2:26" ht="16.5" customHeight="1" x14ac:dyDescent="0.25">
      <c r="B8" s="217"/>
      <c r="C8" s="16" t="s">
        <v>110</v>
      </c>
      <c r="D8" s="64" t="s">
        <v>256</v>
      </c>
      <c r="E8" s="112">
        <v>150</v>
      </c>
      <c r="F8" s="25">
        <v>180</v>
      </c>
      <c r="G8" s="17">
        <f>E8*2.8/100</f>
        <v>4.2</v>
      </c>
      <c r="H8" s="27">
        <f>F8*2.8/100</f>
        <v>5.0399999999999991</v>
      </c>
      <c r="I8" s="17">
        <f>E8*3.16/100</f>
        <v>4.74</v>
      </c>
      <c r="J8" s="27">
        <f>F8*3.16/100</f>
        <v>5.6880000000000006</v>
      </c>
      <c r="K8" s="17">
        <f>E8*9.88/100</f>
        <v>14.820000000000002</v>
      </c>
      <c r="L8" s="27">
        <f>F8*9.88/100</f>
        <v>17.784000000000002</v>
      </c>
      <c r="M8" s="17">
        <f t="shared" ref="M8:N12" si="0">G8*4+I8*9+K8*4</f>
        <v>118.74000000000001</v>
      </c>
      <c r="N8" s="29">
        <f t="shared" si="0"/>
        <v>142.488</v>
      </c>
    </row>
    <row r="9" spans="2:26" x14ac:dyDescent="0.25">
      <c r="B9" s="217"/>
      <c r="C9" s="16" t="s">
        <v>211</v>
      </c>
      <c r="D9" s="92" t="s">
        <v>212</v>
      </c>
      <c r="E9" s="63">
        <v>30</v>
      </c>
      <c r="F9" s="60">
        <v>35</v>
      </c>
      <c r="G9" s="93">
        <f>E9*7.5/100</f>
        <v>2.25</v>
      </c>
      <c r="H9" s="37">
        <f>F9*7.5/100</f>
        <v>2.625</v>
      </c>
      <c r="I9" s="94">
        <f>E9*2.9/100</f>
        <v>0.87</v>
      </c>
      <c r="J9" s="27">
        <f>F9*2.9/100</f>
        <v>1.0149999999999999</v>
      </c>
      <c r="K9" s="94">
        <f>E9*51.4/100</f>
        <v>15.42</v>
      </c>
      <c r="L9" s="27">
        <f>F9*51.4/100</f>
        <v>17.989999999999998</v>
      </c>
      <c r="M9" s="94">
        <f t="shared" si="0"/>
        <v>78.509999999999991</v>
      </c>
      <c r="N9" s="29">
        <f t="shared" si="0"/>
        <v>91.594999999999999</v>
      </c>
    </row>
    <row r="10" spans="2:26" x14ac:dyDescent="0.25">
      <c r="B10" s="217"/>
      <c r="C10" s="46" t="s">
        <v>178</v>
      </c>
      <c r="D10" s="47" t="s">
        <v>179</v>
      </c>
      <c r="E10" s="105">
        <v>8</v>
      </c>
      <c r="F10" s="48">
        <v>10</v>
      </c>
      <c r="G10" s="17">
        <f>E10*0.8/100</f>
        <v>6.4000000000000001E-2</v>
      </c>
      <c r="H10" s="27">
        <f>F10*0.8/100</f>
        <v>0.08</v>
      </c>
      <c r="I10" s="17">
        <f>E10*72.5/100</f>
        <v>5.8</v>
      </c>
      <c r="J10" s="27">
        <f>F10*72.5/100</f>
        <v>7.25</v>
      </c>
      <c r="K10" s="17">
        <f>E10*1.3/100</f>
        <v>0.10400000000000001</v>
      </c>
      <c r="L10" s="27">
        <f>F10*1.3/100</f>
        <v>0.13</v>
      </c>
      <c r="M10" s="17">
        <f t="shared" si="0"/>
        <v>52.871999999999993</v>
      </c>
      <c r="N10" s="29">
        <f t="shared" si="0"/>
        <v>66.089999999999989</v>
      </c>
    </row>
    <row r="11" spans="2:26" x14ac:dyDescent="0.25">
      <c r="B11" s="217"/>
      <c r="C11" s="16" t="s">
        <v>257</v>
      </c>
      <c r="D11" s="6" t="s">
        <v>258</v>
      </c>
      <c r="E11" s="112">
        <v>180</v>
      </c>
      <c r="F11" s="25">
        <v>200</v>
      </c>
      <c r="G11" s="17">
        <f>E11*1.6/200</f>
        <v>1.44</v>
      </c>
      <c r="H11" s="27">
        <f>F11*1.6/200</f>
        <v>1.6</v>
      </c>
      <c r="I11" s="17">
        <f>E11*1.3/200</f>
        <v>1.17</v>
      </c>
      <c r="J11" s="27">
        <f>F11*1.3/200</f>
        <v>1.3</v>
      </c>
      <c r="K11" s="17">
        <f>E11*11.5/200</f>
        <v>10.35</v>
      </c>
      <c r="L11" s="27">
        <f>F11*11.5/200</f>
        <v>11.5</v>
      </c>
      <c r="M11" s="17">
        <f t="shared" si="0"/>
        <v>57.69</v>
      </c>
      <c r="N11" s="29">
        <f t="shared" si="0"/>
        <v>64.099999999999994</v>
      </c>
    </row>
    <row r="12" spans="2:26" x14ac:dyDescent="0.25">
      <c r="B12" s="217"/>
      <c r="C12" s="23"/>
      <c r="D12" s="4" t="s">
        <v>13</v>
      </c>
      <c r="E12" s="21">
        <f>SUM(E8:E11)</f>
        <v>368</v>
      </c>
      <c r="F12" s="26">
        <f t="shared" ref="F12" si="1">SUM(F8:F11)</f>
        <v>425</v>
      </c>
      <c r="G12" s="7">
        <f>SUM(G8:G11)</f>
        <v>7.9540000000000006</v>
      </c>
      <c r="H12" s="28">
        <f t="shared" ref="H12:K12" si="2">SUM(H8:H11)</f>
        <v>9.3449999999999989</v>
      </c>
      <c r="I12" s="7">
        <f t="shared" si="2"/>
        <v>12.58</v>
      </c>
      <c r="J12" s="28">
        <f t="shared" si="2"/>
        <v>15.253</v>
      </c>
      <c r="K12" s="7">
        <f t="shared" si="2"/>
        <v>40.694000000000003</v>
      </c>
      <c r="L12" s="28">
        <f>SUM(L8:L11)</f>
        <v>47.404000000000003</v>
      </c>
      <c r="M12" s="7">
        <f>G12*4+I12*9+K12*4</f>
        <v>307.81200000000001</v>
      </c>
      <c r="N12" s="30">
        <f t="shared" si="0"/>
        <v>364.27300000000002</v>
      </c>
    </row>
    <row r="13" spans="2:26" x14ac:dyDescent="0.25">
      <c r="B13" s="217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  <row r="14" spans="2:26" x14ac:dyDescent="0.25">
      <c r="B14" s="217"/>
      <c r="C14" s="15" t="s">
        <v>168</v>
      </c>
      <c r="D14" s="9" t="s">
        <v>214</v>
      </c>
      <c r="E14" s="105">
        <v>100</v>
      </c>
      <c r="F14" s="24">
        <v>130</v>
      </c>
      <c r="G14" s="17">
        <f>E14*3/100</f>
        <v>3</v>
      </c>
      <c r="H14" s="27">
        <f>F14*3/100</f>
        <v>3.9</v>
      </c>
      <c r="I14" s="17">
        <f>E14*2.5/100</f>
        <v>2.5</v>
      </c>
      <c r="J14" s="27">
        <f>F14*2.5/100</f>
        <v>3.25</v>
      </c>
      <c r="K14" s="17">
        <f>E14*11/100</f>
        <v>11</v>
      </c>
      <c r="L14" s="27">
        <f>F14*11/100</f>
        <v>14.3</v>
      </c>
      <c r="M14" s="17">
        <f t="shared" ref="M14:N14" si="3">G14*4+I14*9+K14*4</f>
        <v>78.5</v>
      </c>
      <c r="N14" s="29">
        <f t="shared" si="3"/>
        <v>102.05000000000001</v>
      </c>
    </row>
    <row r="15" spans="2:26" x14ac:dyDescent="0.25">
      <c r="B15" s="217"/>
      <c r="C15" s="15"/>
      <c r="D15" s="4" t="s">
        <v>84</v>
      </c>
      <c r="E15" s="21">
        <f t="shared" ref="E15:L15" si="4">SUM(E14)</f>
        <v>100</v>
      </c>
      <c r="F15" s="26">
        <f t="shared" si="4"/>
        <v>130</v>
      </c>
      <c r="G15" s="7">
        <f t="shared" si="4"/>
        <v>3</v>
      </c>
      <c r="H15" s="28">
        <f t="shared" si="4"/>
        <v>3.9</v>
      </c>
      <c r="I15" s="7">
        <f t="shared" si="4"/>
        <v>2.5</v>
      </c>
      <c r="J15" s="28">
        <f t="shared" si="4"/>
        <v>3.25</v>
      </c>
      <c r="K15" s="7">
        <f t="shared" si="4"/>
        <v>11</v>
      </c>
      <c r="L15" s="28">
        <f t="shared" si="4"/>
        <v>14.3</v>
      </c>
      <c r="M15" s="7">
        <f>G15*4+I15*9+K15*4</f>
        <v>78.5</v>
      </c>
      <c r="N15" s="30">
        <f>H15*4+J15*9+L15*4</f>
        <v>102.05000000000001</v>
      </c>
    </row>
    <row r="16" spans="2:26" x14ac:dyDescent="0.25">
      <c r="B16" s="217"/>
      <c r="C16" s="200" t="s">
        <v>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2:14" x14ac:dyDescent="0.25">
      <c r="B17" s="217"/>
      <c r="C17" s="15" t="s">
        <v>277</v>
      </c>
      <c r="D17" s="9" t="s">
        <v>278</v>
      </c>
      <c r="E17" s="123">
        <v>30</v>
      </c>
      <c r="F17" s="36">
        <v>50</v>
      </c>
      <c r="G17" s="19">
        <f>E17*5.82/100</f>
        <v>1.7460000000000002</v>
      </c>
      <c r="H17" s="37">
        <f>F17*5.82/100</f>
        <v>2.91</v>
      </c>
      <c r="I17" s="19">
        <f>E17*14.62/100</f>
        <v>4.3859999999999992</v>
      </c>
      <c r="J17" s="37">
        <f>F17*14.62/100</f>
        <v>7.31</v>
      </c>
      <c r="K17" s="19">
        <f>E17*5.76/100</f>
        <v>1.7279999999999998</v>
      </c>
      <c r="L17" s="37">
        <f>F17*5.76/100</f>
        <v>2.88</v>
      </c>
      <c r="M17" s="19">
        <f t="shared" ref="M17:N17" si="5">G17*4+I17*9+K17*4</f>
        <v>53.36999999999999</v>
      </c>
      <c r="N17" s="34">
        <f t="shared" si="5"/>
        <v>88.949999999999989</v>
      </c>
    </row>
    <row r="18" spans="2:14" x14ac:dyDescent="0.25">
      <c r="B18" s="217"/>
      <c r="C18" s="15" t="s">
        <v>20</v>
      </c>
      <c r="D18" s="126" t="s">
        <v>73</v>
      </c>
      <c r="E18" s="123">
        <v>150</v>
      </c>
      <c r="F18" s="36">
        <v>180</v>
      </c>
      <c r="G18" s="17">
        <f>E18*1.77/100</f>
        <v>2.6549999999999998</v>
      </c>
      <c r="H18" s="27">
        <f>F18*1.77/100</f>
        <v>3.1860000000000004</v>
      </c>
      <c r="I18" s="17">
        <f>E18*2.89/100</f>
        <v>4.335</v>
      </c>
      <c r="J18" s="27">
        <f>F18*2.89/100</f>
        <v>5.2020000000000008</v>
      </c>
      <c r="K18" s="17">
        <f>E18*4.47/100</f>
        <v>6.7050000000000001</v>
      </c>
      <c r="L18" s="27">
        <f>F18*4.47/100</f>
        <v>8.0459999999999994</v>
      </c>
      <c r="M18" s="17">
        <f t="shared" ref="M18:N19" si="6">G18*4+I18*9+K18*4</f>
        <v>76.454999999999998</v>
      </c>
      <c r="N18" s="29">
        <f>H18*4+J18*9+L18*4</f>
        <v>91.746000000000009</v>
      </c>
    </row>
    <row r="19" spans="2:14" x14ac:dyDescent="0.25">
      <c r="B19" s="217"/>
      <c r="C19" s="16" t="s">
        <v>30</v>
      </c>
      <c r="D19" s="6" t="s">
        <v>10</v>
      </c>
      <c r="E19" s="121">
        <v>120</v>
      </c>
      <c r="F19" s="25">
        <v>150</v>
      </c>
      <c r="G19" s="17">
        <f>E19*3.63/100</f>
        <v>4.3559999999999999</v>
      </c>
      <c r="H19" s="27">
        <f>F19*3.63/100</f>
        <v>5.4450000000000003</v>
      </c>
      <c r="I19" s="17">
        <f>E19*4.5/100</f>
        <v>5.4</v>
      </c>
      <c r="J19" s="27">
        <f>F19*4.5/100</f>
        <v>6.75</v>
      </c>
      <c r="K19" s="17">
        <f>E19*22.5/100</f>
        <v>27</v>
      </c>
      <c r="L19" s="27">
        <f>F19*22.5/100</f>
        <v>33.75</v>
      </c>
      <c r="M19" s="17">
        <f t="shared" si="6"/>
        <v>174.024</v>
      </c>
      <c r="N19" s="29">
        <f t="shared" si="6"/>
        <v>217.53</v>
      </c>
    </row>
    <row r="20" spans="2:14" x14ac:dyDescent="0.25">
      <c r="B20" s="217"/>
      <c r="C20" s="15" t="s">
        <v>103</v>
      </c>
      <c r="D20" s="9" t="s">
        <v>104</v>
      </c>
      <c r="E20" s="121">
        <v>50</v>
      </c>
      <c r="F20" s="25">
        <v>70</v>
      </c>
      <c r="G20" s="17">
        <f>E20*13.5/100</f>
        <v>6.75</v>
      </c>
      <c r="H20" s="27">
        <f>F20*13.5/100</f>
        <v>9.4499999999999993</v>
      </c>
      <c r="I20" s="17">
        <f>E20*21/100</f>
        <v>10.5</v>
      </c>
      <c r="J20" s="27">
        <f>F20*21/100</f>
        <v>14.7</v>
      </c>
      <c r="K20" s="17">
        <f>E20*9.9/100</f>
        <v>4.95</v>
      </c>
      <c r="L20" s="27">
        <f>F20*9.9/100</f>
        <v>6.93</v>
      </c>
      <c r="M20" s="17">
        <f t="shared" ref="M20:N24" si="7">G20*4+I20*9+K20*4</f>
        <v>141.30000000000001</v>
      </c>
      <c r="N20" s="29">
        <f t="shared" si="7"/>
        <v>197.81999999999996</v>
      </c>
    </row>
    <row r="21" spans="2:14" x14ac:dyDescent="0.25">
      <c r="B21" s="217"/>
      <c r="C21" s="15" t="s">
        <v>262</v>
      </c>
      <c r="D21" s="9" t="s">
        <v>263</v>
      </c>
      <c r="E21" s="121">
        <v>30</v>
      </c>
      <c r="F21" s="25">
        <v>40</v>
      </c>
      <c r="G21" s="17">
        <f>E21*1.3/50</f>
        <v>0.78</v>
      </c>
      <c r="H21" s="27">
        <f>F21*1.3/50</f>
        <v>1.04</v>
      </c>
      <c r="I21" s="17">
        <f>E21*4.8/50</f>
        <v>2.88</v>
      </c>
      <c r="J21" s="27">
        <f>F21*4.8/50</f>
        <v>3.84</v>
      </c>
      <c r="K21" s="17">
        <f>E21*4.7/50</f>
        <v>2.82</v>
      </c>
      <c r="L21" s="27">
        <f>F21*4.7/50</f>
        <v>3.76</v>
      </c>
      <c r="M21" s="17">
        <f t="shared" si="7"/>
        <v>40.32</v>
      </c>
      <c r="N21" s="29">
        <f t="shared" si="7"/>
        <v>53.76</v>
      </c>
    </row>
    <row r="22" spans="2:14" x14ac:dyDescent="0.25">
      <c r="B22" s="217"/>
      <c r="C22" s="15" t="s">
        <v>48</v>
      </c>
      <c r="D22" s="9" t="s">
        <v>49</v>
      </c>
      <c r="E22" s="105">
        <v>150</v>
      </c>
      <c r="F22" s="25">
        <v>180</v>
      </c>
      <c r="G22" s="17">
        <f>E22*0.05/100</f>
        <v>7.4999999999999997E-2</v>
      </c>
      <c r="H22" s="27">
        <f>F22*0.05/100</f>
        <v>0.09</v>
      </c>
      <c r="I22" s="17">
        <f>E22*0.05/100</f>
        <v>7.4999999999999997E-2</v>
      </c>
      <c r="J22" s="27">
        <f>F22*0.05/100</f>
        <v>0.09</v>
      </c>
      <c r="K22" s="17">
        <f>E22*5.55/100</f>
        <v>8.3249999999999993</v>
      </c>
      <c r="L22" s="27">
        <f>F22*5.55/100</f>
        <v>9.99</v>
      </c>
      <c r="M22" s="17">
        <f t="shared" si="7"/>
        <v>34.274999999999999</v>
      </c>
      <c r="N22" s="29">
        <f t="shared" si="7"/>
        <v>41.13</v>
      </c>
    </row>
    <row r="23" spans="2:14" x14ac:dyDescent="0.25">
      <c r="B23" s="217"/>
      <c r="C23" s="16" t="s">
        <v>165</v>
      </c>
      <c r="D23" s="6" t="s">
        <v>21</v>
      </c>
      <c r="E23" s="63">
        <v>25</v>
      </c>
      <c r="F23" s="60">
        <v>30</v>
      </c>
      <c r="G23" s="17">
        <f>E23*8/100</f>
        <v>2</v>
      </c>
      <c r="H23" s="27">
        <f>F23*8/100</f>
        <v>2.4</v>
      </c>
      <c r="I23" s="17">
        <f>E23*1.5/100</f>
        <v>0.375</v>
      </c>
      <c r="J23" s="27">
        <f>F23*1.5/100</f>
        <v>0.45</v>
      </c>
      <c r="K23" s="17">
        <f>E23*40.1/100</f>
        <v>10.025</v>
      </c>
      <c r="L23" s="27">
        <f>F23*40.1/100</f>
        <v>12.03</v>
      </c>
      <c r="M23" s="17">
        <f t="shared" si="7"/>
        <v>51.475000000000001</v>
      </c>
      <c r="N23" s="29">
        <f t="shared" si="7"/>
        <v>61.769999999999996</v>
      </c>
    </row>
    <row r="24" spans="2:14" x14ac:dyDescent="0.25">
      <c r="B24" s="217"/>
      <c r="C24" s="16" t="s">
        <v>163</v>
      </c>
      <c r="D24" s="6" t="s">
        <v>164</v>
      </c>
      <c r="E24" s="63">
        <v>25</v>
      </c>
      <c r="F24" s="60">
        <v>35</v>
      </c>
      <c r="G24" s="17">
        <f>E24*7.6/100</f>
        <v>1.9</v>
      </c>
      <c r="H24" s="27">
        <f>F24*7.6/100</f>
        <v>2.66</v>
      </c>
      <c r="I24" s="17">
        <f>E24*0.8/100</f>
        <v>0.2</v>
      </c>
      <c r="J24" s="27">
        <f>F24*0.8/100</f>
        <v>0.28000000000000003</v>
      </c>
      <c r="K24" s="17">
        <f>E24*49.2/100</f>
        <v>12.3</v>
      </c>
      <c r="L24" s="27">
        <f>F24*49.2/100</f>
        <v>17.22</v>
      </c>
      <c r="M24" s="17">
        <f t="shared" si="7"/>
        <v>58.6</v>
      </c>
      <c r="N24" s="29">
        <f t="shared" si="7"/>
        <v>82.039999999999992</v>
      </c>
    </row>
    <row r="25" spans="2:14" x14ac:dyDescent="0.25">
      <c r="B25" s="217"/>
      <c r="C25" s="16"/>
      <c r="D25" s="4" t="s">
        <v>14</v>
      </c>
      <c r="E25" s="21">
        <f t="shared" ref="E25:N25" si="8">SUM(E17:E24)</f>
        <v>580</v>
      </c>
      <c r="F25" s="32">
        <f t="shared" si="8"/>
        <v>735</v>
      </c>
      <c r="G25" s="7">
        <f t="shared" si="8"/>
        <v>20.261999999999997</v>
      </c>
      <c r="H25" s="28">
        <f t="shared" si="8"/>
        <v>27.180999999999997</v>
      </c>
      <c r="I25" s="7">
        <f t="shared" si="8"/>
        <v>28.151</v>
      </c>
      <c r="J25" s="28">
        <f t="shared" si="8"/>
        <v>38.622000000000014</v>
      </c>
      <c r="K25" s="7">
        <f t="shared" si="8"/>
        <v>73.853000000000009</v>
      </c>
      <c r="L25" s="28">
        <f>SUM(L17:L24)</f>
        <v>94.605999999999995</v>
      </c>
      <c r="M25" s="7">
        <f t="shared" si="8"/>
        <v>629.81900000000007</v>
      </c>
      <c r="N25" s="30">
        <f t="shared" si="8"/>
        <v>834.74599999999987</v>
      </c>
    </row>
    <row r="26" spans="2:14" x14ac:dyDescent="0.25">
      <c r="B26" s="217"/>
      <c r="C26" s="213" t="s">
        <v>88</v>
      </c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/>
    </row>
    <row r="27" spans="2:14" x14ac:dyDescent="0.25">
      <c r="B27" s="217"/>
      <c r="C27" s="15" t="s">
        <v>217</v>
      </c>
      <c r="D27" s="9" t="s">
        <v>218</v>
      </c>
      <c r="E27" s="105">
        <v>75</v>
      </c>
      <c r="F27" s="25">
        <v>75</v>
      </c>
      <c r="G27" s="17">
        <f>E27*10.9/100</f>
        <v>8.1750000000000007</v>
      </c>
      <c r="H27" s="27">
        <f>F27*10.9/100</f>
        <v>8.1750000000000007</v>
      </c>
      <c r="I27" s="17">
        <f>E27*14.5/100</f>
        <v>10.875</v>
      </c>
      <c r="J27" s="27">
        <f>F27*14.5/100</f>
        <v>10.875</v>
      </c>
      <c r="K27" s="17">
        <f>E27*41.5/100</f>
        <v>31.125</v>
      </c>
      <c r="L27" s="27">
        <f>F27*41.5/100</f>
        <v>31.125</v>
      </c>
      <c r="M27" s="17">
        <f t="shared" ref="M27:N28" si="9">G27*4+I27*9+K27*4</f>
        <v>255.07499999999999</v>
      </c>
      <c r="N27" s="29">
        <f t="shared" si="9"/>
        <v>255.07499999999999</v>
      </c>
    </row>
    <row r="28" spans="2:14" x14ac:dyDescent="0.25">
      <c r="B28" s="217"/>
      <c r="C28" s="15" t="s">
        <v>47</v>
      </c>
      <c r="D28" s="9" t="s">
        <v>15</v>
      </c>
      <c r="E28" s="105">
        <v>180</v>
      </c>
      <c r="F28" s="25">
        <v>200</v>
      </c>
      <c r="G28" s="17">
        <f>E28*0.2/200</f>
        <v>0.18</v>
      </c>
      <c r="H28" s="27">
        <f>F28*0.2/200</f>
        <v>0.2</v>
      </c>
      <c r="I28" s="17">
        <f t="shared" ref="I28:J28" si="10">E28*0.1/200</f>
        <v>0.09</v>
      </c>
      <c r="J28" s="27">
        <f t="shared" si="10"/>
        <v>0.1</v>
      </c>
      <c r="K28" s="17">
        <f>E28*9.3/200</f>
        <v>8.370000000000001</v>
      </c>
      <c r="L28" s="27">
        <f>F28*9.3/200</f>
        <v>9.3000000000000007</v>
      </c>
      <c r="M28" s="17">
        <f t="shared" si="9"/>
        <v>35.010000000000005</v>
      </c>
      <c r="N28" s="29">
        <f t="shared" si="9"/>
        <v>38.900000000000006</v>
      </c>
    </row>
    <row r="29" spans="2:14" x14ac:dyDescent="0.25">
      <c r="B29" s="217"/>
      <c r="C29" s="42"/>
      <c r="D29" s="49" t="s">
        <v>85</v>
      </c>
      <c r="E29" s="50">
        <f t="shared" ref="E29:N29" si="11">SUM(E27:E28)</f>
        <v>255</v>
      </c>
      <c r="F29" s="51">
        <f t="shared" si="11"/>
        <v>275</v>
      </c>
      <c r="G29" s="52">
        <f t="shared" si="11"/>
        <v>8.3550000000000004</v>
      </c>
      <c r="H29" s="53">
        <f t="shared" si="11"/>
        <v>8.375</v>
      </c>
      <c r="I29" s="52">
        <f t="shared" si="11"/>
        <v>10.965</v>
      </c>
      <c r="J29" s="53">
        <f t="shared" si="11"/>
        <v>10.975</v>
      </c>
      <c r="K29" s="52">
        <f t="shared" si="11"/>
        <v>39.495000000000005</v>
      </c>
      <c r="L29" s="53">
        <f t="shared" si="11"/>
        <v>40.424999999999997</v>
      </c>
      <c r="M29" s="52">
        <f t="shared" si="11"/>
        <v>290.08499999999998</v>
      </c>
      <c r="N29" s="54">
        <f t="shared" si="11"/>
        <v>293.97500000000002</v>
      </c>
    </row>
    <row r="30" spans="2:14" ht="15.75" thickBot="1" x14ac:dyDescent="0.3">
      <c r="B30" s="218"/>
      <c r="C30" s="22"/>
      <c r="D30" s="13" t="s">
        <v>12</v>
      </c>
      <c r="E30" s="18"/>
      <c r="F30" s="43"/>
      <c r="G30" s="14">
        <f t="shared" ref="G30:N30" si="12">G29+G25+G15+G12</f>
        <v>39.570999999999998</v>
      </c>
      <c r="H30" s="33">
        <f t="shared" si="12"/>
        <v>48.800999999999995</v>
      </c>
      <c r="I30" s="14">
        <f t="shared" si="12"/>
        <v>54.195999999999998</v>
      </c>
      <c r="J30" s="33">
        <f t="shared" si="12"/>
        <v>68.100000000000023</v>
      </c>
      <c r="K30" s="14">
        <f t="shared" si="12"/>
        <v>165.04200000000003</v>
      </c>
      <c r="L30" s="33">
        <f>L29+L25+L15+L12</f>
        <v>196.73500000000001</v>
      </c>
      <c r="M30" s="14">
        <f t="shared" si="12"/>
        <v>1306.2159999999999</v>
      </c>
      <c r="N30" s="35">
        <f t="shared" si="12"/>
        <v>1595.0439999999999</v>
      </c>
    </row>
  </sheetData>
  <mergeCells count="15">
    <mergeCell ref="M4:N5"/>
    <mergeCell ref="G5:H5"/>
    <mergeCell ref="I5:J5"/>
    <mergeCell ref="K5:L5"/>
    <mergeCell ref="B3:E3"/>
    <mergeCell ref="B4:B6"/>
    <mergeCell ref="C4:C6"/>
    <mergeCell ref="D4:D6"/>
    <mergeCell ref="E4:F5"/>
    <mergeCell ref="G4:L4"/>
    <mergeCell ref="B7:B30"/>
    <mergeCell ref="C7:N7"/>
    <mergeCell ref="C13:N13"/>
    <mergeCell ref="C16:N16"/>
    <mergeCell ref="C26:N2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3:Z28"/>
  <sheetViews>
    <sheetView zoomScale="90" zoomScaleNormal="90" zoomScalePageLayoutView="90" workbookViewId="0">
      <selection activeCell="E32" sqref="E32"/>
    </sheetView>
  </sheetViews>
  <sheetFormatPr defaultColWidth="9.140625" defaultRowHeight="15" x14ac:dyDescent="0.25"/>
  <cols>
    <col min="1" max="1" width="5.7109375" style="12" customWidth="1"/>
    <col min="2" max="2" width="2.7109375" style="12" customWidth="1"/>
    <col min="3" max="3" width="10.5703125" style="12" customWidth="1"/>
    <col min="4" max="4" width="37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15" customHeight="1" thickBot="1" x14ac:dyDescent="0.3">
      <c r="B3" s="194" t="s">
        <v>17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1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16" t="s">
        <v>51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</row>
    <row r="8" spans="2:26" x14ac:dyDescent="0.25">
      <c r="B8" s="217"/>
      <c r="C8" s="15" t="s">
        <v>59</v>
      </c>
      <c r="D8" s="9" t="s">
        <v>61</v>
      </c>
      <c r="E8" s="105">
        <v>140</v>
      </c>
      <c r="F8" s="24">
        <v>160</v>
      </c>
      <c r="G8" s="17">
        <f>E8*2.5/100</f>
        <v>3.5</v>
      </c>
      <c r="H8" s="27">
        <f>F8*2.5/100</f>
        <v>4</v>
      </c>
      <c r="I8" s="17">
        <f>E8*3.2/100</f>
        <v>4.4800000000000004</v>
      </c>
      <c r="J8" s="27">
        <f>F8*3.2/100</f>
        <v>5.12</v>
      </c>
      <c r="K8" s="17">
        <f>E8*13.95/100</f>
        <v>19.53</v>
      </c>
      <c r="L8" s="27">
        <f>F8*13.95/100</f>
        <v>22.32</v>
      </c>
      <c r="M8" s="17">
        <f t="shared" ref="M8:N12" si="0">G8*4+I8*9+K8*4</f>
        <v>132.44</v>
      </c>
      <c r="N8" s="29">
        <f t="shared" si="0"/>
        <v>151.36000000000001</v>
      </c>
    </row>
    <row r="9" spans="2:26" x14ac:dyDescent="0.25">
      <c r="B9" s="217"/>
      <c r="C9" s="16" t="s">
        <v>211</v>
      </c>
      <c r="D9" s="92" t="s">
        <v>212</v>
      </c>
      <c r="E9" s="63">
        <v>25</v>
      </c>
      <c r="F9" s="60">
        <v>30</v>
      </c>
      <c r="G9" s="93">
        <f>E9*7.5/100</f>
        <v>1.875</v>
      </c>
      <c r="H9" s="37">
        <f>F9*7.5/100</f>
        <v>2.25</v>
      </c>
      <c r="I9" s="94">
        <f>E9*2.9/100</f>
        <v>0.72499999999999998</v>
      </c>
      <c r="J9" s="27">
        <f>F9*2.9/100</f>
        <v>0.87</v>
      </c>
      <c r="K9" s="94">
        <f>E9*51.4/100</f>
        <v>12.85</v>
      </c>
      <c r="L9" s="27">
        <f>F9*51.4/100</f>
        <v>15.42</v>
      </c>
      <c r="M9" s="94">
        <f t="shared" si="0"/>
        <v>65.424999999999997</v>
      </c>
      <c r="N9" s="29">
        <f t="shared" si="0"/>
        <v>78.509999999999991</v>
      </c>
    </row>
    <row r="10" spans="2:26" x14ac:dyDescent="0.25">
      <c r="B10" s="217"/>
      <c r="C10" s="46" t="s">
        <v>166</v>
      </c>
      <c r="D10" s="47" t="s">
        <v>167</v>
      </c>
      <c r="E10" s="105">
        <v>8</v>
      </c>
      <c r="F10" s="48">
        <v>10</v>
      </c>
      <c r="G10" s="17">
        <f>E10*23.2/100</f>
        <v>1.8559999999999999</v>
      </c>
      <c r="H10" s="27">
        <f>F10*23.2/100</f>
        <v>2.3199999999999998</v>
      </c>
      <c r="I10" s="17">
        <f>E10*29.5/100</f>
        <v>2.36</v>
      </c>
      <c r="J10" s="27">
        <f>F10*29.5/100</f>
        <v>2.95</v>
      </c>
      <c r="K10" s="17">
        <f>E10*0/100</f>
        <v>0</v>
      </c>
      <c r="L10" s="27">
        <f>F10*0/100</f>
        <v>0</v>
      </c>
      <c r="M10" s="17">
        <f t="shared" si="0"/>
        <v>28.663999999999998</v>
      </c>
      <c r="N10" s="29">
        <f t="shared" si="0"/>
        <v>35.83</v>
      </c>
    </row>
    <row r="11" spans="2:26" x14ac:dyDescent="0.25">
      <c r="B11" s="217"/>
      <c r="C11" s="15" t="s">
        <v>93</v>
      </c>
      <c r="D11" s="9" t="s">
        <v>94</v>
      </c>
      <c r="E11" s="105">
        <v>180</v>
      </c>
      <c r="F11" s="25">
        <v>200</v>
      </c>
      <c r="G11" s="17">
        <f>E11*1.65/100</f>
        <v>2.97</v>
      </c>
      <c r="H11" s="27">
        <f>F11*1.65/100</f>
        <v>3.3</v>
      </c>
      <c r="I11" s="17">
        <f>E11*1.45/100</f>
        <v>2.61</v>
      </c>
      <c r="J11" s="27">
        <f>F11*1.45/100</f>
        <v>2.9</v>
      </c>
      <c r="K11" s="17">
        <f>E11*6.9/100</f>
        <v>12.42</v>
      </c>
      <c r="L11" s="27">
        <f>F11*6.9/100</f>
        <v>13.8</v>
      </c>
      <c r="M11" s="17">
        <f t="shared" si="0"/>
        <v>85.05</v>
      </c>
      <c r="N11" s="29">
        <f t="shared" si="0"/>
        <v>94.5</v>
      </c>
    </row>
    <row r="12" spans="2:26" x14ac:dyDescent="0.25">
      <c r="B12" s="217"/>
      <c r="C12" s="23"/>
      <c r="D12" s="4" t="s">
        <v>13</v>
      </c>
      <c r="E12" s="21">
        <f>SUM(E8:E11)</f>
        <v>353</v>
      </c>
      <c r="F12" s="26">
        <f t="shared" ref="F12" si="1">SUM(F8:F11)</f>
        <v>400</v>
      </c>
      <c r="G12" s="7">
        <f>SUM(G8:G11)</f>
        <v>10.201000000000001</v>
      </c>
      <c r="H12" s="28">
        <f t="shared" ref="H12:K12" si="2">SUM(H8:H11)</f>
        <v>11.870000000000001</v>
      </c>
      <c r="I12" s="7">
        <f t="shared" si="2"/>
        <v>10.174999999999999</v>
      </c>
      <c r="J12" s="28">
        <f t="shared" si="2"/>
        <v>11.840000000000002</v>
      </c>
      <c r="K12" s="7">
        <f t="shared" si="2"/>
        <v>44.800000000000004</v>
      </c>
      <c r="L12" s="28">
        <f>SUM(L8:L11)</f>
        <v>51.540000000000006</v>
      </c>
      <c r="M12" s="7">
        <f>G12*4+I12*9+K12*4</f>
        <v>311.57900000000001</v>
      </c>
      <c r="N12" s="30">
        <f t="shared" si="0"/>
        <v>360.20000000000005</v>
      </c>
    </row>
    <row r="13" spans="2:26" x14ac:dyDescent="0.25">
      <c r="B13" s="217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  <row r="14" spans="2:26" x14ac:dyDescent="0.25">
      <c r="B14" s="217"/>
      <c r="C14" s="16" t="s">
        <v>172</v>
      </c>
      <c r="D14" s="6" t="s">
        <v>173</v>
      </c>
      <c r="E14" s="112">
        <v>100</v>
      </c>
      <c r="F14" s="25">
        <v>100</v>
      </c>
      <c r="G14" s="17">
        <f>E14*0.5/100</f>
        <v>0.5</v>
      </c>
      <c r="H14" s="27">
        <f>F14*0.5/100</f>
        <v>0.5</v>
      </c>
      <c r="I14" s="17">
        <f>E14*0.1/100</f>
        <v>0.1</v>
      </c>
      <c r="J14" s="27">
        <f>F14*0.1/100</f>
        <v>0.1</v>
      </c>
      <c r="K14" s="17">
        <f>E14*10.1/100</f>
        <v>10.1</v>
      </c>
      <c r="L14" s="27">
        <f>F14*10.1/100</f>
        <v>10.1</v>
      </c>
      <c r="M14" s="17">
        <f t="shared" ref="M14:N15" si="3">G14*4+I14*9+K14*4</f>
        <v>43.3</v>
      </c>
      <c r="N14" s="29">
        <f t="shared" si="3"/>
        <v>43.3</v>
      </c>
    </row>
    <row r="15" spans="2:26" x14ac:dyDescent="0.25">
      <c r="B15" s="217"/>
      <c r="C15" s="15" t="s">
        <v>35</v>
      </c>
      <c r="D15" s="9" t="s">
        <v>213</v>
      </c>
      <c r="E15" s="112">
        <v>30</v>
      </c>
      <c r="F15" s="25">
        <v>30</v>
      </c>
      <c r="G15" s="17">
        <f>E15*7.7/100</f>
        <v>2.31</v>
      </c>
      <c r="H15" s="27">
        <f>F15*7.7/100</f>
        <v>2.31</v>
      </c>
      <c r="I15" s="17">
        <f>E15*16.1/100</f>
        <v>4.830000000000001</v>
      </c>
      <c r="J15" s="27">
        <f>F15*16.1/100</f>
        <v>4.830000000000001</v>
      </c>
      <c r="K15" s="17">
        <f>E15*68.7/100</f>
        <v>20.61</v>
      </c>
      <c r="L15" s="27">
        <f>F15*68.7/100</f>
        <v>20.61</v>
      </c>
      <c r="M15" s="17">
        <f t="shared" si="3"/>
        <v>135.15</v>
      </c>
      <c r="N15" s="29">
        <f t="shared" si="3"/>
        <v>135.15</v>
      </c>
    </row>
    <row r="16" spans="2:26" x14ac:dyDescent="0.25">
      <c r="B16" s="217"/>
      <c r="C16" s="15"/>
      <c r="D16" s="4" t="s">
        <v>84</v>
      </c>
      <c r="E16" s="21">
        <f>SUM(E14:E15)</f>
        <v>130</v>
      </c>
      <c r="F16" s="113">
        <f t="shared" ref="F16:N16" si="4">SUM(F14:F15)</f>
        <v>130</v>
      </c>
      <c r="G16" s="21">
        <f t="shared" si="4"/>
        <v>2.81</v>
      </c>
      <c r="H16" s="113">
        <f t="shared" si="4"/>
        <v>2.81</v>
      </c>
      <c r="I16" s="21">
        <f t="shared" si="4"/>
        <v>4.9300000000000006</v>
      </c>
      <c r="J16" s="113">
        <f t="shared" si="4"/>
        <v>4.9300000000000006</v>
      </c>
      <c r="K16" s="21">
        <f t="shared" si="4"/>
        <v>30.71</v>
      </c>
      <c r="L16" s="113">
        <f t="shared" si="4"/>
        <v>30.71</v>
      </c>
      <c r="M16" s="21">
        <f t="shared" si="4"/>
        <v>178.45</v>
      </c>
      <c r="N16" s="95">
        <f t="shared" si="4"/>
        <v>178.45</v>
      </c>
    </row>
    <row r="17" spans="2:14" x14ac:dyDescent="0.25">
      <c r="B17" s="217"/>
      <c r="C17" s="200" t="s">
        <v>9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2"/>
    </row>
    <row r="18" spans="2:14" x14ac:dyDescent="0.25">
      <c r="B18" s="217"/>
      <c r="C18" s="45" t="s">
        <v>58</v>
      </c>
      <c r="D18" s="41" t="s">
        <v>60</v>
      </c>
      <c r="E18" s="105">
        <v>150</v>
      </c>
      <c r="F18" s="31">
        <v>180</v>
      </c>
      <c r="G18" s="17">
        <f>E18*2.48/100</f>
        <v>3.72</v>
      </c>
      <c r="H18" s="27">
        <f>F18*2.48/100</f>
        <v>4.4639999999999995</v>
      </c>
      <c r="I18" s="17">
        <f>E18*2.24/100</f>
        <v>3.3600000000000008</v>
      </c>
      <c r="J18" s="27">
        <f>F18*2.24/100</f>
        <v>4.032</v>
      </c>
      <c r="K18" s="17">
        <f>E18*8.92/100</f>
        <v>13.38</v>
      </c>
      <c r="L18" s="27">
        <f>F18*8.92/100</f>
        <v>16.055999999999997</v>
      </c>
      <c r="M18" s="17">
        <f t="shared" ref="M18:N22" si="5">G18*4+I18*9+K18*4</f>
        <v>98.640000000000015</v>
      </c>
      <c r="N18" s="29">
        <f>H18*4+J18*9+L18*4</f>
        <v>118.36799999999998</v>
      </c>
    </row>
    <row r="19" spans="2:14" x14ac:dyDescent="0.25">
      <c r="B19" s="217"/>
      <c r="C19" s="15" t="s">
        <v>182</v>
      </c>
      <c r="D19" s="9" t="s">
        <v>183</v>
      </c>
      <c r="E19" s="105">
        <v>150</v>
      </c>
      <c r="F19" s="25">
        <v>200</v>
      </c>
      <c r="G19" s="17">
        <f>E19*5.7/100</f>
        <v>8.5500000000000007</v>
      </c>
      <c r="H19" s="27">
        <f>F19*5.7/100</f>
        <v>11.4</v>
      </c>
      <c r="I19" s="17">
        <f>E19*9.45/100</f>
        <v>14.175000000000001</v>
      </c>
      <c r="J19" s="27">
        <f>F19*9.45/100</f>
        <v>18.899999999999999</v>
      </c>
      <c r="K19" s="17">
        <f>E19*9.4/100</f>
        <v>14.1</v>
      </c>
      <c r="L19" s="27">
        <f>F19*9.4/100</f>
        <v>18.8</v>
      </c>
      <c r="M19" s="17">
        <f t="shared" si="5"/>
        <v>218.17500000000001</v>
      </c>
      <c r="N19" s="29">
        <f t="shared" si="5"/>
        <v>290.89999999999998</v>
      </c>
    </row>
    <row r="20" spans="2:14" x14ac:dyDescent="0.25">
      <c r="B20" s="217"/>
      <c r="C20" s="15" t="s">
        <v>52</v>
      </c>
      <c r="D20" s="9" t="s">
        <v>53</v>
      </c>
      <c r="E20" s="112">
        <v>150</v>
      </c>
      <c r="F20" s="25">
        <v>180</v>
      </c>
      <c r="G20" s="17">
        <f>E20*0.6/200</f>
        <v>0.45</v>
      </c>
      <c r="H20" s="27">
        <f>F20*0.6/200</f>
        <v>0.54</v>
      </c>
      <c r="I20" s="17">
        <f t="shared" ref="I20:J20" si="6">E20*0.1/200</f>
        <v>7.4999999999999997E-2</v>
      </c>
      <c r="J20" s="27">
        <f t="shared" si="6"/>
        <v>0.09</v>
      </c>
      <c r="K20" s="17">
        <f>E20*20.1/200</f>
        <v>15.074999999999999</v>
      </c>
      <c r="L20" s="27">
        <f>F20*20.1/200</f>
        <v>18.090000000000003</v>
      </c>
      <c r="M20" s="17">
        <f t="shared" si="5"/>
        <v>62.774999999999999</v>
      </c>
      <c r="N20" s="29">
        <f t="shared" si="5"/>
        <v>75.330000000000013</v>
      </c>
    </row>
    <row r="21" spans="2:14" x14ac:dyDescent="0.25">
      <c r="B21" s="217"/>
      <c r="C21" s="16" t="s">
        <v>165</v>
      </c>
      <c r="D21" s="6" t="s">
        <v>21</v>
      </c>
      <c r="E21" s="63">
        <v>25</v>
      </c>
      <c r="F21" s="60">
        <v>30</v>
      </c>
      <c r="G21" s="17">
        <f>E21*8/100</f>
        <v>2</v>
      </c>
      <c r="H21" s="27">
        <f>F21*8/100</f>
        <v>2.4</v>
      </c>
      <c r="I21" s="17">
        <f>E21*1.5/100</f>
        <v>0.375</v>
      </c>
      <c r="J21" s="27">
        <f>F21*1.5/100</f>
        <v>0.45</v>
      </c>
      <c r="K21" s="17">
        <f>E21*40.1/100</f>
        <v>10.025</v>
      </c>
      <c r="L21" s="27">
        <f>F21*40.1/100</f>
        <v>12.03</v>
      </c>
      <c r="M21" s="17">
        <f t="shared" si="5"/>
        <v>51.475000000000001</v>
      </c>
      <c r="N21" s="29">
        <f t="shared" si="5"/>
        <v>61.769999999999996</v>
      </c>
    </row>
    <row r="22" spans="2:14" x14ac:dyDescent="0.25">
      <c r="B22" s="217"/>
      <c r="C22" s="16" t="s">
        <v>163</v>
      </c>
      <c r="D22" s="6" t="s">
        <v>164</v>
      </c>
      <c r="E22" s="63">
        <v>30</v>
      </c>
      <c r="F22" s="60">
        <v>40</v>
      </c>
      <c r="G22" s="17">
        <f>E22*7.6/100</f>
        <v>2.2799999999999998</v>
      </c>
      <c r="H22" s="27">
        <f>F22*7.6/100</f>
        <v>3.04</v>
      </c>
      <c r="I22" s="17">
        <f>E22*0.8/100</f>
        <v>0.24</v>
      </c>
      <c r="J22" s="27">
        <f>F22*0.8/100</f>
        <v>0.32</v>
      </c>
      <c r="K22" s="17">
        <f>E22*49.2/100</f>
        <v>14.76</v>
      </c>
      <c r="L22" s="27">
        <f>F22*49.2/100</f>
        <v>19.68</v>
      </c>
      <c r="M22" s="17">
        <f t="shared" si="5"/>
        <v>70.319999999999993</v>
      </c>
      <c r="N22" s="29">
        <f t="shared" si="5"/>
        <v>93.759999999999991</v>
      </c>
    </row>
    <row r="23" spans="2:14" x14ac:dyDescent="0.25">
      <c r="B23" s="217"/>
      <c r="C23" s="16"/>
      <c r="D23" s="4" t="s">
        <v>14</v>
      </c>
      <c r="E23" s="21">
        <f t="shared" ref="E23:N23" si="7">SUM(E18:E22)</f>
        <v>505</v>
      </c>
      <c r="F23" s="32">
        <f t="shared" si="7"/>
        <v>630</v>
      </c>
      <c r="G23" s="7">
        <f t="shared" si="7"/>
        <v>17</v>
      </c>
      <c r="H23" s="28">
        <f t="shared" si="7"/>
        <v>21.843999999999998</v>
      </c>
      <c r="I23" s="7">
        <f t="shared" si="7"/>
        <v>18.224999999999998</v>
      </c>
      <c r="J23" s="28">
        <f t="shared" si="7"/>
        <v>23.791999999999998</v>
      </c>
      <c r="K23" s="7">
        <f t="shared" si="7"/>
        <v>67.34</v>
      </c>
      <c r="L23" s="28">
        <f t="shared" si="7"/>
        <v>84.656000000000006</v>
      </c>
      <c r="M23" s="7">
        <f t="shared" si="7"/>
        <v>501.38500000000005</v>
      </c>
      <c r="N23" s="30">
        <f t="shared" si="7"/>
        <v>640.12799999999993</v>
      </c>
    </row>
    <row r="24" spans="2:14" x14ac:dyDescent="0.25">
      <c r="B24" s="217"/>
      <c r="C24" s="213" t="s">
        <v>88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</row>
    <row r="25" spans="2:14" x14ac:dyDescent="0.25">
      <c r="B25" s="217"/>
      <c r="C25" s="110" t="s">
        <v>246</v>
      </c>
      <c r="D25" s="40" t="s">
        <v>247</v>
      </c>
      <c r="E25" s="108">
        <v>50</v>
      </c>
      <c r="F25" s="25">
        <v>70</v>
      </c>
      <c r="G25" s="17">
        <f>E25*4.3/60</f>
        <v>3.5833333333333335</v>
      </c>
      <c r="H25" s="27">
        <f>F25*4.3/60</f>
        <v>5.0166666666666666</v>
      </c>
      <c r="I25" s="17">
        <f>E25*8/60</f>
        <v>6.666666666666667</v>
      </c>
      <c r="J25" s="27">
        <f>F25*8/60</f>
        <v>9.3333333333333339</v>
      </c>
      <c r="K25" s="17">
        <f>E25*28.8/60</f>
        <v>24</v>
      </c>
      <c r="L25" s="27">
        <f>F25*28.8/60</f>
        <v>33.6</v>
      </c>
      <c r="M25" s="17">
        <f t="shared" ref="M25:N25" si="8">G25*4+I25*9+K25*4</f>
        <v>170.33333333333331</v>
      </c>
      <c r="N25" s="29">
        <f t="shared" si="8"/>
        <v>238.46666666666667</v>
      </c>
    </row>
    <row r="26" spans="2:14" x14ac:dyDescent="0.25">
      <c r="B26" s="217"/>
      <c r="C26" s="16" t="s">
        <v>46</v>
      </c>
      <c r="D26" s="6" t="s">
        <v>11</v>
      </c>
      <c r="E26" s="105">
        <v>150</v>
      </c>
      <c r="F26" s="25">
        <v>180</v>
      </c>
      <c r="G26" s="17">
        <f>E26*0.3/200</f>
        <v>0.22500000000000001</v>
      </c>
      <c r="H26" s="27">
        <f>F26*0.3/200</f>
        <v>0.27</v>
      </c>
      <c r="I26" s="17">
        <f t="shared" ref="I26:J26" si="9">E26*0.1/200</f>
        <v>7.4999999999999997E-2</v>
      </c>
      <c r="J26" s="27">
        <f t="shared" si="9"/>
        <v>0.09</v>
      </c>
      <c r="K26" s="17">
        <f>E26*9.5/200</f>
        <v>7.125</v>
      </c>
      <c r="L26" s="27">
        <f>F26*9.5/200</f>
        <v>8.5500000000000007</v>
      </c>
      <c r="M26" s="17">
        <f t="shared" ref="M26:N26" si="10">G26*4+I26*9+K26*4</f>
        <v>30.074999999999999</v>
      </c>
      <c r="N26" s="29">
        <f t="shared" si="10"/>
        <v>36.090000000000003</v>
      </c>
    </row>
    <row r="27" spans="2:14" x14ac:dyDescent="0.25">
      <c r="B27" s="217"/>
      <c r="C27" s="42"/>
      <c r="D27" s="49" t="s">
        <v>85</v>
      </c>
      <c r="E27" s="50">
        <f t="shared" ref="E27:N27" si="11">SUM(E25:E26)</f>
        <v>200</v>
      </c>
      <c r="F27" s="51">
        <f t="shared" si="11"/>
        <v>250</v>
      </c>
      <c r="G27" s="52">
        <f t="shared" si="11"/>
        <v>3.8083333333333336</v>
      </c>
      <c r="H27" s="53">
        <f t="shared" si="11"/>
        <v>5.2866666666666671</v>
      </c>
      <c r="I27" s="52">
        <f t="shared" si="11"/>
        <v>6.7416666666666671</v>
      </c>
      <c r="J27" s="53">
        <f t="shared" si="11"/>
        <v>9.4233333333333338</v>
      </c>
      <c r="K27" s="52">
        <f t="shared" si="11"/>
        <v>31.125</v>
      </c>
      <c r="L27" s="53">
        <f t="shared" si="11"/>
        <v>42.150000000000006</v>
      </c>
      <c r="M27" s="52">
        <f t="shared" si="11"/>
        <v>200.4083333333333</v>
      </c>
      <c r="N27" s="54">
        <f t="shared" si="11"/>
        <v>274.55666666666667</v>
      </c>
    </row>
    <row r="28" spans="2:14" ht="15.75" thickBot="1" x14ac:dyDescent="0.3">
      <c r="B28" s="218"/>
      <c r="C28" s="22"/>
      <c r="D28" s="13" t="s">
        <v>12</v>
      </c>
      <c r="E28" s="18"/>
      <c r="F28" s="43"/>
      <c r="G28" s="14">
        <f t="shared" ref="G28:N28" si="12">G27+G23+G16+G12</f>
        <v>33.819333333333333</v>
      </c>
      <c r="H28" s="33">
        <f t="shared" si="12"/>
        <v>41.810666666666663</v>
      </c>
      <c r="I28" s="14">
        <f t="shared" si="12"/>
        <v>40.071666666666665</v>
      </c>
      <c r="J28" s="33">
        <f t="shared" si="12"/>
        <v>49.985333333333337</v>
      </c>
      <c r="K28" s="14">
        <f t="shared" si="12"/>
        <v>173.97500000000002</v>
      </c>
      <c r="L28" s="33">
        <f t="shared" si="12"/>
        <v>209.05600000000004</v>
      </c>
      <c r="M28" s="14">
        <f t="shared" si="12"/>
        <v>1191.8223333333333</v>
      </c>
      <c r="N28" s="35">
        <f t="shared" si="12"/>
        <v>1453.3346666666666</v>
      </c>
    </row>
  </sheetData>
  <mergeCells count="15">
    <mergeCell ref="M4:N5"/>
    <mergeCell ref="G5:H5"/>
    <mergeCell ref="I5:J5"/>
    <mergeCell ref="K5:L5"/>
    <mergeCell ref="B3:E3"/>
    <mergeCell ref="B4:B6"/>
    <mergeCell ref="C4:C6"/>
    <mergeCell ref="D4:D6"/>
    <mergeCell ref="E4:F5"/>
    <mergeCell ref="G4:L4"/>
    <mergeCell ref="B7:B28"/>
    <mergeCell ref="C7:N7"/>
    <mergeCell ref="C13:N13"/>
    <mergeCell ref="C17:N17"/>
    <mergeCell ref="C24:N2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  <pageSetUpPr fitToPage="1"/>
  </sheetPr>
  <dimension ref="B3:Z30"/>
  <sheetViews>
    <sheetView zoomScale="90" zoomScaleNormal="90" zoomScalePageLayoutView="90" workbookViewId="0">
      <selection activeCell="F23" sqref="F23"/>
    </sheetView>
  </sheetViews>
  <sheetFormatPr defaultColWidth="9.140625" defaultRowHeight="15" x14ac:dyDescent="0.25"/>
  <cols>
    <col min="1" max="1" width="5.7109375" style="12" customWidth="1"/>
    <col min="2" max="2" width="2.7109375" style="12" customWidth="1"/>
    <col min="3" max="3" width="10.5703125" style="12" customWidth="1"/>
    <col min="4" max="4" width="37.57031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21" customHeight="1" thickBot="1" x14ac:dyDescent="0.3">
      <c r="B3" s="194" t="s">
        <v>54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7.75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16" t="s">
        <v>36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25">
      <c r="B8" s="217"/>
      <c r="C8" s="15" t="s">
        <v>96</v>
      </c>
      <c r="D8" s="8" t="s">
        <v>97</v>
      </c>
      <c r="E8" s="39">
        <v>140</v>
      </c>
      <c r="F8" s="24">
        <v>160</v>
      </c>
      <c r="G8" s="17">
        <f>E8*6/100</f>
        <v>8.4</v>
      </c>
      <c r="H8" s="27">
        <f>F8*6/100</f>
        <v>9.6</v>
      </c>
      <c r="I8" s="17">
        <f>E8*5/100</f>
        <v>7</v>
      </c>
      <c r="J8" s="27">
        <f>F8*5/100</f>
        <v>8</v>
      </c>
      <c r="K8" s="17">
        <f>E8*17.65/100</f>
        <v>24.71</v>
      </c>
      <c r="L8" s="27">
        <f>F8*17.65/100</f>
        <v>28.24</v>
      </c>
      <c r="M8" s="17">
        <f t="shared" ref="M8:N10" si="0">G8*4+I8*9+K8*4</f>
        <v>195.44</v>
      </c>
      <c r="N8" s="29">
        <f t="shared" si="0"/>
        <v>223.36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25">
      <c r="B9" s="217"/>
      <c r="C9" s="16" t="s">
        <v>211</v>
      </c>
      <c r="D9" s="92" t="s">
        <v>212</v>
      </c>
      <c r="E9" s="63">
        <v>25</v>
      </c>
      <c r="F9" s="60">
        <v>30</v>
      </c>
      <c r="G9" s="93">
        <f>E9*7.5/100</f>
        <v>1.875</v>
      </c>
      <c r="H9" s="37">
        <f>F9*7.5/100</f>
        <v>2.25</v>
      </c>
      <c r="I9" s="94">
        <f>E9*2.9/100</f>
        <v>0.72499999999999998</v>
      </c>
      <c r="J9" s="27">
        <f>F9*2.9/100</f>
        <v>0.87</v>
      </c>
      <c r="K9" s="94">
        <f>E9*51.4/100</f>
        <v>12.85</v>
      </c>
      <c r="L9" s="27">
        <f>F9*51.4/100</f>
        <v>15.42</v>
      </c>
      <c r="M9" s="94">
        <f t="shared" si="0"/>
        <v>65.424999999999997</v>
      </c>
      <c r="N9" s="29">
        <f t="shared" si="0"/>
        <v>78.509999999999991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217"/>
      <c r="C10" s="15" t="s">
        <v>161</v>
      </c>
      <c r="D10" s="8" t="s">
        <v>162</v>
      </c>
      <c r="E10" s="88">
        <v>25</v>
      </c>
      <c r="F10" s="24">
        <v>25</v>
      </c>
      <c r="G10" s="17">
        <f>E10*12.7/100</f>
        <v>3.1749999999999998</v>
      </c>
      <c r="H10" s="27">
        <f>F10*12.7/100</f>
        <v>3.1749999999999998</v>
      </c>
      <c r="I10" s="17">
        <f>E10*11.5/100</f>
        <v>2.875</v>
      </c>
      <c r="J10" s="27">
        <f>F10*11.5/100</f>
        <v>2.875</v>
      </c>
      <c r="K10" s="17">
        <f>E10*0.07/100</f>
        <v>1.7500000000000002E-2</v>
      </c>
      <c r="L10" s="27">
        <f>F10*0.07/100</f>
        <v>1.7500000000000002E-2</v>
      </c>
      <c r="M10" s="17">
        <f t="shared" si="0"/>
        <v>38.645000000000003</v>
      </c>
      <c r="N10" s="29">
        <f t="shared" si="0"/>
        <v>38.645000000000003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217"/>
      <c r="C11" s="15" t="s">
        <v>47</v>
      </c>
      <c r="D11" s="9" t="s">
        <v>15</v>
      </c>
      <c r="E11" s="88">
        <v>180</v>
      </c>
      <c r="F11" s="25">
        <v>200</v>
      </c>
      <c r="G11" s="17">
        <f>E11*0.2/200</f>
        <v>0.18</v>
      </c>
      <c r="H11" s="27">
        <f>F11*0.2/200</f>
        <v>0.2</v>
      </c>
      <c r="I11" s="17">
        <f t="shared" ref="I11:J11" si="1">E11*0.1/200</f>
        <v>0.09</v>
      </c>
      <c r="J11" s="27">
        <f t="shared" si="1"/>
        <v>0.1</v>
      </c>
      <c r="K11" s="17">
        <f>E11*9.3/200</f>
        <v>8.370000000000001</v>
      </c>
      <c r="L11" s="27">
        <f>F11*9.3/200</f>
        <v>9.3000000000000007</v>
      </c>
      <c r="M11" s="17">
        <f t="shared" ref="M11:N12" si="2">G11*4+I11*9+K11*4</f>
        <v>35.010000000000005</v>
      </c>
      <c r="N11" s="29">
        <f t="shared" si="2"/>
        <v>38.900000000000006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217"/>
      <c r="C12" s="23"/>
      <c r="D12" s="4" t="s">
        <v>13</v>
      </c>
      <c r="E12" s="21">
        <f t="shared" ref="E12:K12" si="3">SUM(E8:E11)</f>
        <v>370</v>
      </c>
      <c r="F12" s="26">
        <f t="shared" si="3"/>
        <v>415</v>
      </c>
      <c r="G12" s="7">
        <f>SUM(G8:G11)</f>
        <v>13.629999999999999</v>
      </c>
      <c r="H12" s="28">
        <f t="shared" si="3"/>
        <v>15.224999999999998</v>
      </c>
      <c r="I12" s="7">
        <f t="shared" si="3"/>
        <v>10.69</v>
      </c>
      <c r="J12" s="28">
        <f t="shared" si="3"/>
        <v>11.844999999999999</v>
      </c>
      <c r="K12" s="7">
        <f t="shared" si="3"/>
        <v>45.947500000000005</v>
      </c>
      <c r="L12" s="28">
        <f>SUM(L8:L11)</f>
        <v>52.977499999999992</v>
      </c>
      <c r="M12" s="7">
        <f>G12*4+I12*9+K12*4</f>
        <v>334.52</v>
      </c>
      <c r="N12" s="30">
        <f t="shared" si="2"/>
        <v>379.41499999999996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217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217"/>
      <c r="C14" s="16" t="s">
        <v>172</v>
      </c>
      <c r="D14" s="6" t="s">
        <v>173</v>
      </c>
      <c r="E14" s="89">
        <v>100</v>
      </c>
      <c r="F14" s="25">
        <v>100</v>
      </c>
      <c r="G14" s="17">
        <f>E14*0.5/100</f>
        <v>0.5</v>
      </c>
      <c r="H14" s="27">
        <f>F14*0.5/100</f>
        <v>0.5</v>
      </c>
      <c r="I14" s="17">
        <f>E14*0.1/100</f>
        <v>0.1</v>
      </c>
      <c r="J14" s="27">
        <f>F14*0.1/100</f>
        <v>0.1</v>
      </c>
      <c r="K14" s="17">
        <f>E14*10.1/100</f>
        <v>10.1</v>
      </c>
      <c r="L14" s="27">
        <f>F14*10.1/100</f>
        <v>10.1</v>
      </c>
      <c r="M14" s="17">
        <f t="shared" ref="M14:N15" si="4">G14*4+I14*9+K14*4</f>
        <v>43.3</v>
      </c>
      <c r="N14" s="29">
        <f t="shared" si="4"/>
        <v>43.3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17"/>
      <c r="C15" s="15" t="s">
        <v>35</v>
      </c>
      <c r="D15" s="9" t="s">
        <v>213</v>
      </c>
      <c r="E15" s="89">
        <v>30</v>
      </c>
      <c r="F15" s="25">
        <v>30</v>
      </c>
      <c r="G15" s="17">
        <f>E15*7.7/100</f>
        <v>2.31</v>
      </c>
      <c r="H15" s="27">
        <f>F15*7.7/100</f>
        <v>2.31</v>
      </c>
      <c r="I15" s="17">
        <f>E15*16.1/100</f>
        <v>4.830000000000001</v>
      </c>
      <c r="J15" s="27">
        <f>F15*16.1/100</f>
        <v>4.830000000000001</v>
      </c>
      <c r="K15" s="17">
        <f>E15*68.7/100</f>
        <v>20.61</v>
      </c>
      <c r="L15" s="27">
        <f>F15*68.7/100</f>
        <v>20.61</v>
      </c>
      <c r="M15" s="17">
        <f t="shared" si="4"/>
        <v>135.15</v>
      </c>
      <c r="N15" s="29">
        <f t="shared" si="4"/>
        <v>135.15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217"/>
      <c r="C16" s="15"/>
      <c r="D16" s="4" t="s">
        <v>84</v>
      </c>
      <c r="E16" s="21">
        <f>SUM(E14:E15)</f>
        <v>130</v>
      </c>
      <c r="F16" s="90">
        <f t="shared" ref="F16:N16" si="5">SUM(F14:F15)</f>
        <v>130</v>
      </c>
      <c r="G16" s="21">
        <f t="shared" si="5"/>
        <v>2.81</v>
      </c>
      <c r="H16" s="90">
        <f t="shared" si="5"/>
        <v>2.81</v>
      </c>
      <c r="I16" s="7">
        <f>SUM(I14:I15)</f>
        <v>4.9300000000000006</v>
      </c>
      <c r="J16" s="90">
        <f t="shared" si="5"/>
        <v>4.9300000000000006</v>
      </c>
      <c r="K16" s="21">
        <f t="shared" si="5"/>
        <v>30.71</v>
      </c>
      <c r="L16" s="90">
        <f t="shared" si="5"/>
        <v>30.71</v>
      </c>
      <c r="M16" s="21">
        <f t="shared" si="5"/>
        <v>178.45</v>
      </c>
      <c r="N16" s="95">
        <f t="shared" si="5"/>
        <v>178.45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17"/>
      <c r="C17" s="200" t="s">
        <v>9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2"/>
      <c r="O17" s="1"/>
      <c r="P17" s="3"/>
      <c r="Q17" s="5" t="s">
        <v>22</v>
      </c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17"/>
      <c r="C18" s="15" t="s">
        <v>272</v>
      </c>
      <c r="D18" s="6" t="s">
        <v>273</v>
      </c>
      <c r="E18" s="114">
        <v>30</v>
      </c>
      <c r="F18" s="31">
        <v>50</v>
      </c>
      <c r="G18" s="17">
        <f>E18*1.45/100</f>
        <v>0.435</v>
      </c>
      <c r="H18" s="27">
        <f>F18*1.45/100</f>
        <v>0.72499999999999998</v>
      </c>
      <c r="I18" s="17">
        <f>E18*6/100</f>
        <v>1.8</v>
      </c>
      <c r="J18" s="27">
        <f>F18*6/100</f>
        <v>3</v>
      </c>
      <c r="K18" s="17">
        <f>E18*8.4/100</f>
        <v>2.52</v>
      </c>
      <c r="L18" s="27">
        <f>F18*8.4/100</f>
        <v>4.2</v>
      </c>
      <c r="M18" s="19">
        <f t="shared" ref="M18:N18" si="6">G18*4+I18*9+K18*4</f>
        <v>28.019999999999996</v>
      </c>
      <c r="N18" s="34">
        <f t="shared" si="6"/>
        <v>46.7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17"/>
      <c r="C19" s="16" t="s">
        <v>184</v>
      </c>
      <c r="D19" s="6" t="s">
        <v>185</v>
      </c>
      <c r="E19" s="114">
        <v>150</v>
      </c>
      <c r="F19" s="25">
        <v>180</v>
      </c>
      <c r="G19" s="17">
        <f>E19*2.3/100</f>
        <v>3.45</v>
      </c>
      <c r="H19" s="27">
        <f>F19*2.3/100</f>
        <v>4.1399999999999997</v>
      </c>
      <c r="I19" s="17">
        <f>E19*1.6/100</f>
        <v>2.4</v>
      </c>
      <c r="J19" s="27">
        <f>F19*1.6/100</f>
        <v>2.88</v>
      </c>
      <c r="K19" s="17">
        <f>E19*4.9/100</f>
        <v>7.35</v>
      </c>
      <c r="L19" s="27">
        <f>F19*4.9/100</f>
        <v>8.82</v>
      </c>
      <c r="M19" s="19">
        <f t="shared" ref="M19" si="7">G19*4+I19*9+K19*4</f>
        <v>64.8</v>
      </c>
      <c r="N19" s="34">
        <f t="shared" ref="N19" si="8">H19*4+J19*9+L19*4</f>
        <v>77.759999999999991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17"/>
      <c r="C20" s="16" t="s">
        <v>260</v>
      </c>
      <c r="D20" s="6" t="s">
        <v>261</v>
      </c>
      <c r="E20" s="112">
        <v>120</v>
      </c>
      <c r="F20" s="25">
        <v>150</v>
      </c>
      <c r="G20" s="17">
        <f>E20*5.67/100</f>
        <v>6.8039999999999994</v>
      </c>
      <c r="H20" s="27">
        <f>F20*5.67/100</f>
        <v>8.5050000000000008</v>
      </c>
      <c r="I20" s="17">
        <f>E20*4.24/100</f>
        <v>5.0880000000000001</v>
      </c>
      <c r="J20" s="27">
        <f>F20*4.24/100</f>
        <v>6.36</v>
      </c>
      <c r="K20" s="17">
        <f>E20*25.13/100</f>
        <v>30.155999999999999</v>
      </c>
      <c r="L20" s="27">
        <f>F20*25.13/100</f>
        <v>37.695</v>
      </c>
      <c r="M20" s="17">
        <f t="shared" ref="M20:N22" si="9">G20*4+I20*9+K20*4</f>
        <v>193.63200000000001</v>
      </c>
      <c r="N20" s="29">
        <f t="shared" si="9"/>
        <v>242.04000000000002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17"/>
      <c r="C21" s="15" t="s">
        <v>219</v>
      </c>
      <c r="D21" s="9" t="s">
        <v>220</v>
      </c>
      <c r="E21" s="89">
        <v>50</v>
      </c>
      <c r="F21" s="25">
        <v>70</v>
      </c>
      <c r="G21" s="17">
        <f>E21*18.7/100</f>
        <v>9.35</v>
      </c>
      <c r="H21" s="27">
        <f>F21*18.7/100</f>
        <v>13.09</v>
      </c>
      <c r="I21" s="17">
        <f>E21*15.3/100</f>
        <v>7.65</v>
      </c>
      <c r="J21" s="27">
        <f>F21*15.3/100</f>
        <v>10.71</v>
      </c>
      <c r="K21" s="17">
        <f>E21*0.6/100</f>
        <v>0.3</v>
      </c>
      <c r="L21" s="27">
        <f>F21*0.6/100</f>
        <v>0.42</v>
      </c>
      <c r="M21" s="17">
        <f t="shared" si="9"/>
        <v>107.45</v>
      </c>
      <c r="N21" s="29">
        <f t="shared" si="9"/>
        <v>150.43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17"/>
      <c r="C22" s="15" t="s">
        <v>52</v>
      </c>
      <c r="D22" s="9" t="s">
        <v>53</v>
      </c>
      <c r="E22" s="88">
        <v>150</v>
      </c>
      <c r="F22" s="25">
        <v>180</v>
      </c>
      <c r="G22" s="17">
        <f>E22*0.6/200</f>
        <v>0.45</v>
      </c>
      <c r="H22" s="27">
        <f>F22*0.6/200</f>
        <v>0.54</v>
      </c>
      <c r="I22" s="17">
        <f t="shared" ref="I22:J22" si="10">E22*0.1/200</f>
        <v>7.4999999999999997E-2</v>
      </c>
      <c r="J22" s="27">
        <f t="shared" si="10"/>
        <v>0.09</v>
      </c>
      <c r="K22" s="17">
        <f>E22*20.1/200</f>
        <v>15.074999999999999</v>
      </c>
      <c r="L22" s="27">
        <f>F22*20.1/200</f>
        <v>18.090000000000003</v>
      </c>
      <c r="M22" s="17">
        <f t="shared" si="9"/>
        <v>62.774999999999999</v>
      </c>
      <c r="N22" s="29">
        <f t="shared" si="9"/>
        <v>75.330000000000013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217"/>
      <c r="C23" s="16" t="s">
        <v>165</v>
      </c>
      <c r="D23" s="6" t="s">
        <v>21</v>
      </c>
      <c r="E23" s="63">
        <v>25</v>
      </c>
      <c r="F23" s="60">
        <v>30</v>
      </c>
      <c r="G23" s="17">
        <f>E23*8/100</f>
        <v>2</v>
      </c>
      <c r="H23" s="27">
        <f>F23*8/100</f>
        <v>2.4</v>
      </c>
      <c r="I23" s="17">
        <f>E23*1.5/100</f>
        <v>0.375</v>
      </c>
      <c r="J23" s="27">
        <f>F23*1.5/100</f>
        <v>0.45</v>
      </c>
      <c r="K23" s="17">
        <f>E23*40.1/100</f>
        <v>10.025</v>
      </c>
      <c r="L23" s="27">
        <f>F23*40.1/100</f>
        <v>12.03</v>
      </c>
      <c r="M23" s="17">
        <f t="shared" ref="M23:N24" si="11">G23*4+I23*9+K23*4</f>
        <v>51.475000000000001</v>
      </c>
      <c r="N23" s="29">
        <f t="shared" si="11"/>
        <v>61.769999999999996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x14ac:dyDescent="0.25">
      <c r="B24" s="217"/>
      <c r="C24" s="16" t="s">
        <v>163</v>
      </c>
      <c r="D24" s="6" t="s">
        <v>164</v>
      </c>
      <c r="E24" s="63">
        <v>25</v>
      </c>
      <c r="F24" s="60">
        <v>30</v>
      </c>
      <c r="G24" s="17">
        <f>E24*7.6/100</f>
        <v>1.9</v>
      </c>
      <c r="H24" s="27">
        <f>F24*7.6/100</f>
        <v>2.2799999999999998</v>
      </c>
      <c r="I24" s="17">
        <f>E24*0.8/100</f>
        <v>0.2</v>
      </c>
      <c r="J24" s="27">
        <f>F24*0.8/100</f>
        <v>0.24</v>
      </c>
      <c r="K24" s="17">
        <f>E24*49.2/100</f>
        <v>12.3</v>
      </c>
      <c r="L24" s="27">
        <f>F24*49.2/100</f>
        <v>14.76</v>
      </c>
      <c r="M24" s="17">
        <f t="shared" si="11"/>
        <v>58.6</v>
      </c>
      <c r="N24" s="29">
        <f t="shared" si="11"/>
        <v>70.319999999999993</v>
      </c>
      <c r="O24" s="1"/>
      <c r="P24" s="3"/>
      <c r="Q24" s="5" t="s">
        <v>22</v>
      </c>
      <c r="R24" s="5"/>
      <c r="S24" s="5"/>
      <c r="T24" s="5"/>
      <c r="U24" s="1"/>
      <c r="V24" s="3"/>
      <c r="W24" s="5"/>
      <c r="X24" s="5"/>
      <c r="Y24" s="5"/>
      <c r="Z24" s="5"/>
    </row>
    <row r="25" spans="2:26" x14ac:dyDescent="0.25">
      <c r="B25" s="217"/>
      <c r="C25" s="16"/>
      <c r="D25" s="4" t="s">
        <v>14</v>
      </c>
      <c r="E25" s="21">
        <f t="shared" ref="E25:N25" si="12">SUM(E18:E24)</f>
        <v>550</v>
      </c>
      <c r="F25" s="32">
        <f t="shared" si="12"/>
        <v>690</v>
      </c>
      <c r="G25" s="7">
        <f t="shared" si="12"/>
        <v>24.388999999999999</v>
      </c>
      <c r="H25" s="28">
        <f t="shared" si="12"/>
        <v>31.68</v>
      </c>
      <c r="I25" s="7">
        <f t="shared" si="12"/>
        <v>17.588000000000001</v>
      </c>
      <c r="J25" s="28">
        <f t="shared" si="12"/>
        <v>23.73</v>
      </c>
      <c r="K25" s="7">
        <f t="shared" si="12"/>
        <v>77.725999999999999</v>
      </c>
      <c r="L25" s="28">
        <f t="shared" si="12"/>
        <v>96.015000000000015</v>
      </c>
      <c r="M25" s="7">
        <f t="shared" si="12"/>
        <v>566.75199999999995</v>
      </c>
      <c r="N25" s="30">
        <f t="shared" si="12"/>
        <v>724.35000000000014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x14ac:dyDescent="0.25">
      <c r="B26" s="217"/>
      <c r="C26" s="213" t="s">
        <v>88</v>
      </c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/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x14ac:dyDescent="0.25">
      <c r="B27" s="217"/>
      <c r="C27" s="15" t="s">
        <v>186</v>
      </c>
      <c r="D27" s="8" t="s">
        <v>187</v>
      </c>
      <c r="E27" s="88">
        <v>75</v>
      </c>
      <c r="F27" s="25">
        <v>75</v>
      </c>
      <c r="G27" s="17">
        <f>E27*8/100</f>
        <v>6</v>
      </c>
      <c r="H27" s="27">
        <f>F27*8/100</f>
        <v>6</v>
      </c>
      <c r="I27" s="17">
        <f>E27*2.8/100</f>
        <v>2.1</v>
      </c>
      <c r="J27" s="27">
        <f>F27*2.8/100</f>
        <v>2.1</v>
      </c>
      <c r="K27" s="17">
        <f>E27*47.8/100</f>
        <v>35.85</v>
      </c>
      <c r="L27" s="27">
        <f>F27*47.8/100</f>
        <v>35.85</v>
      </c>
      <c r="M27" s="17">
        <f t="shared" ref="M27:N28" si="13">G27*4+I27*9+K27*4</f>
        <v>186.3</v>
      </c>
      <c r="N27" s="29">
        <f t="shared" si="13"/>
        <v>186.3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x14ac:dyDescent="0.25">
      <c r="B28" s="217"/>
      <c r="C28" s="15" t="s">
        <v>93</v>
      </c>
      <c r="D28" s="9" t="s">
        <v>94</v>
      </c>
      <c r="E28" s="88">
        <v>150</v>
      </c>
      <c r="F28" s="25">
        <v>180</v>
      </c>
      <c r="G28" s="17">
        <f>E28*1.65/100</f>
        <v>2.4750000000000001</v>
      </c>
      <c r="H28" s="27">
        <f>F28*1.65/100</f>
        <v>2.97</v>
      </c>
      <c r="I28" s="17">
        <f>E28*1.45/100</f>
        <v>2.1749999999999998</v>
      </c>
      <c r="J28" s="27">
        <f>F28*1.45/100</f>
        <v>2.61</v>
      </c>
      <c r="K28" s="17">
        <f>E28*6.9/100</f>
        <v>10.35</v>
      </c>
      <c r="L28" s="27">
        <f>F28*6.9/100</f>
        <v>12.42</v>
      </c>
      <c r="M28" s="17">
        <f t="shared" si="13"/>
        <v>70.875</v>
      </c>
      <c r="N28" s="29">
        <f t="shared" si="13"/>
        <v>85.05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x14ac:dyDescent="0.25">
      <c r="B29" s="217"/>
      <c r="C29" s="42"/>
      <c r="D29" s="49" t="s">
        <v>85</v>
      </c>
      <c r="E29" s="50">
        <f t="shared" ref="E29:N29" si="14">SUM(E27:E28)</f>
        <v>225</v>
      </c>
      <c r="F29" s="51">
        <f t="shared" si="14"/>
        <v>255</v>
      </c>
      <c r="G29" s="52">
        <f t="shared" si="14"/>
        <v>8.4749999999999996</v>
      </c>
      <c r="H29" s="53">
        <f t="shared" si="14"/>
        <v>8.9700000000000006</v>
      </c>
      <c r="I29" s="52">
        <f t="shared" si="14"/>
        <v>4.2750000000000004</v>
      </c>
      <c r="J29" s="53">
        <f t="shared" si="14"/>
        <v>4.71</v>
      </c>
      <c r="K29" s="52">
        <f t="shared" si="14"/>
        <v>46.2</v>
      </c>
      <c r="L29" s="53">
        <f>SUM(L27:L28)</f>
        <v>48.27</v>
      </c>
      <c r="M29" s="52">
        <f t="shared" si="14"/>
        <v>257.17500000000001</v>
      </c>
      <c r="N29" s="54">
        <f t="shared" si="14"/>
        <v>271.35000000000002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  <row r="30" spans="2:26" ht="15.75" thickBot="1" x14ac:dyDescent="0.3">
      <c r="B30" s="218"/>
      <c r="C30" s="22"/>
      <c r="D30" s="13" t="s">
        <v>12</v>
      </c>
      <c r="E30" s="18"/>
      <c r="F30" s="43"/>
      <c r="G30" s="14">
        <f t="shared" ref="G30:N30" si="15">G29+G25+G16+G12</f>
        <v>49.304000000000002</v>
      </c>
      <c r="H30" s="33">
        <f t="shared" si="15"/>
        <v>58.685000000000002</v>
      </c>
      <c r="I30" s="14">
        <f t="shared" si="15"/>
        <v>37.482999999999997</v>
      </c>
      <c r="J30" s="33">
        <f t="shared" si="15"/>
        <v>45.215000000000003</v>
      </c>
      <c r="K30" s="14">
        <f t="shared" si="15"/>
        <v>200.58350000000002</v>
      </c>
      <c r="L30" s="33">
        <f t="shared" si="15"/>
        <v>227.97250000000003</v>
      </c>
      <c r="M30" s="14">
        <f t="shared" si="15"/>
        <v>1336.8969999999999</v>
      </c>
      <c r="N30" s="35">
        <f t="shared" si="15"/>
        <v>1553.5650000000001</v>
      </c>
      <c r="O30" s="1"/>
      <c r="P30" s="3"/>
      <c r="Q30" s="5"/>
      <c r="R30" s="5"/>
      <c r="S30" s="5"/>
      <c r="T30" s="5"/>
      <c r="U30" s="1"/>
      <c r="V30" s="3"/>
      <c r="W30" s="5"/>
      <c r="X30" s="5"/>
      <c r="Y30" s="5"/>
      <c r="Z30" s="5"/>
    </row>
  </sheetData>
  <mergeCells count="15">
    <mergeCell ref="M4:N5"/>
    <mergeCell ref="G5:H5"/>
    <mergeCell ref="I5:J5"/>
    <mergeCell ref="K5:L5"/>
    <mergeCell ref="B7:B30"/>
    <mergeCell ref="C7:N7"/>
    <mergeCell ref="C13:N13"/>
    <mergeCell ref="C17:N17"/>
    <mergeCell ref="C26:N26"/>
    <mergeCell ref="G4:L4"/>
    <mergeCell ref="B3:E3"/>
    <mergeCell ref="B4:B6"/>
    <mergeCell ref="C4:C6"/>
    <mergeCell ref="D4:D6"/>
    <mergeCell ref="E4:F5"/>
  </mergeCells>
  <pageMargins left="0.7" right="0.7" top="0.75" bottom="0.75" header="0.3" footer="0.3"/>
  <pageSetup paperSize="9" scale="97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  <pageSetUpPr fitToPage="1"/>
  </sheetPr>
  <dimension ref="B3:Z31"/>
  <sheetViews>
    <sheetView zoomScale="90" zoomScaleNormal="90" zoomScalePageLayoutView="90" workbookViewId="0">
      <selection activeCell="F15" sqref="F15"/>
    </sheetView>
  </sheetViews>
  <sheetFormatPr defaultColWidth="9.140625" defaultRowHeight="15" x14ac:dyDescent="0.25"/>
  <cols>
    <col min="1" max="1" width="5.7109375" style="12" customWidth="1"/>
    <col min="2" max="2" width="2.7109375" style="12" customWidth="1"/>
    <col min="3" max="3" width="10.5703125" style="12" customWidth="1"/>
    <col min="4" max="4" width="37.57031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18" customHeight="1" thickBot="1" x14ac:dyDescent="0.3">
      <c r="B3" s="194" t="s">
        <v>54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6.25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28" t="s">
        <v>37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</row>
    <row r="8" spans="2:26" x14ac:dyDescent="0.25">
      <c r="B8" s="229"/>
      <c r="C8" s="15" t="s">
        <v>62</v>
      </c>
      <c r="D8" s="8" t="s">
        <v>63</v>
      </c>
      <c r="E8" s="112">
        <v>140</v>
      </c>
      <c r="F8" s="24">
        <v>160</v>
      </c>
      <c r="G8" s="17">
        <f>E8*3.63/100</f>
        <v>5.0819999999999999</v>
      </c>
      <c r="H8" s="27">
        <f>F8*3.63/100</f>
        <v>5.8079999999999998</v>
      </c>
      <c r="I8" s="17">
        <f>E8*3.62/100</f>
        <v>5.0680000000000005</v>
      </c>
      <c r="J8" s="27">
        <f>F8*3.62/100</f>
        <v>5.7920000000000007</v>
      </c>
      <c r="K8" s="17">
        <f>E8*17.42/100</f>
        <v>24.388000000000002</v>
      </c>
      <c r="L8" s="27">
        <f>F8*17.42/100</f>
        <v>27.872000000000003</v>
      </c>
      <c r="M8" s="17">
        <f t="shared" ref="M8:N8" si="0">G8*4+I8*9+K8*4</f>
        <v>163.49200000000002</v>
      </c>
      <c r="N8" s="29">
        <f t="shared" si="0"/>
        <v>186.84800000000001</v>
      </c>
    </row>
    <row r="9" spans="2:26" x14ac:dyDescent="0.25">
      <c r="B9" s="229"/>
      <c r="C9" s="16" t="s">
        <v>211</v>
      </c>
      <c r="D9" s="92" t="s">
        <v>212</v>
      </c>
      <c r="E9" s="63">
        <v>30</v>
      </c>
      <c r="F9" s="60">
        <v>35</v>
      </c>
      <c r="G9" s="93">
        <f>E9*7.5/100</f>
        <v>2.25</v>
      </c>
      <c r="H9" s="37">
        <f>F9*7.5/100</f>
        <v>2.625</v>
      </c>
      <c r="I9" s="94">
        <f>E9*2.9/100</f>
        <v>0.87</v>
      </c>
      <c r="J9" s="27">
        <f>F9*2.9/100</f>
        <v>1.0149999999999999</v>
      </c>
      <c r="K9" s="94">
        <f>E9*51.4/100</f>
        <v>15.42</v>
      </c>
      <c r="L9" s="27">
        <f>F9*51.4/100</f>
        <v>17.989999999999998</v>
      </c>
      <c r="M9" s="94">
        <f t="shared" ref="M9:N11" si="1">G9*4+I9*9+K9*4</f>
        <v>78.509999999999991</v>
      </c>
      <c r="N9" s="29">
        <f t="shared" si="1"/>
        <v>91.594999999999999</v>
      </c>
    </row>
    <row r="10" spans="2:26" x14ac:dyDescent="0.25">
      <c r="B10" s="229"/>
      <c r="C10" s="46" t="s">
        <v>178</v>
      </c>
      <c r="D10" s="47" t="s">
        <v>179</v>
      </c>
      <c r="E10" s="105">
        <v>8</v>
      </c>
      <c r="F10" s="48">
        <v>10</v>
      </c>
      <c r="G10" s="17">
        <f>E10*0.8/100</f>
        <v>6.4000000000000001E-2</v>
      </c>
      <c r="H10" s="27">
        <f>F10*0.8/100</f>
        <v>0.08</v>
      </c>
      <c r="I10" s="17">
        <f>E10*72.5/100</f>
        <v>5.8</v>
      </c>
      <c r="J10" s="27">
        <f>F10*72.5/100</f>
        <v>7.25</v>
      </c>
      <c r="K10" s="17">
        <f>E10*1.3/100</f>
        <v>0.10400000000000001</v>
      </c>
      <c r="L10" s="27">
        <f>F10*1.3/100</f>
        <v>0.13</v>
      </c>
      <c r="M10" s="17">
        <f t="shared" si="1"/>
        <v>52.871999999999993</v>
      </c>
      <c r="N10" s="29">
        <f t="shared" si="1"/>
        <v>66.089999999999989</v>
      </c>
    </row>
    <row r="11" spans="2:26" x14ac:dyDescent="0.25">
      <c r="B11" s="229"/>
      <c r="C11" s="16" t="s">
        <v>46</v>
      </c>
      <c r="D11" s="6" t="s">
        <v>11</v>
      </c>
      <c r="E11" s="112">
        <v>180</v>
      </c>
      <c r="F11" s="25">
        <v>200</v>
      </c>
      <c r="G11" s="17">
        <f>E11*0.3/200</f>
        <v>0.27</v>
      </c>
      <c r="H11" s="27">
        <f>F11*0.3/200</f>
        <v>0.3</v>
      </c>
      <c r="I11" s="17">
        <f t="shared" ref="I11" si="2">E11*0.1/200</f>
        <v>0.09</v>
      </c>
      <c r="J11" s="27">
        <f t="shared" ref="J11" si="3">F11*0.1/200</f>
        <v>0.1</v>
      </c>
      <c r="K11" s="17">
        <f>E11*9.5/200</f>
        <v>8.5500000000000007</v>
      </c>
      <c r="L11" s="27">
        <f>F11*9.5/200</f>
        <v>9.5</v>
      </c>
      <c r="M11" s="17">
        <f t="shared" si="1"/>
        <v>36.090000000000003</v>
      </c>
      <c r="N11" s="29">
        <f t="shared" si="1"/>
        <v>40.1</v>
      </c>
    </row>
    <row r="12" spans="2:26" x14ac:dyDescent="0.25">
      <c r="B12" s="229"/>
      <c r="C12" s="23"/>
      <c r="D12" s="4" t="s">
        <v>13</v>
      </c>
      <c r="E12" s="21">
        <f t="shared" ref="E12:L12" si="4">SUM(E8:E11)</f>
        <v>358</v>
      </c>
      <c r="F12" s="26">
        <f t="shared" si="4"/>
        <v>405</v>
      </c>
      <c r="G12" s="7">
        <f t="shared" si="4"/>
        <v>7.6660000000000004</v>
      </c>
      <c r="H12" s="28">
        <f t="shared" si="4"/>
        <v>8.8130000000000006</v>
      </c>
      <c r="I12" s="7">
        <f t="shared" si="4"/>
        <v>11.827999999999999</v>
      </c>
      <c r="J12" s="28">
        <f t="shared" si="4"/>
        <v>14.157</v>
      </c>
      <c r="K12" s="7">
        <f t="shared" si="4"/>
        <v>48.462000000000003</v>
      </c>
      <c r="L12" s="28">
        <f t="shared" si="4"/>
        <v>55.492000000000004</v>
      </c>
      <c r="M12" s="7">
        <f>G12*4+I12*9+K12*4</f>
        <v>330.964</v>
      </c>
      <c r="N12" s="30">
        <f>H12*4+J12*9+L12*4</f>
        <v>384.63300000000004</v>
      </c>
    </row>
    <row r="13" spans="2:26" x14ac:dyDescent="0.25">
      <c r="B13" s="229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  <row r="14" spans="2:26" x14ac:dyDescent="0.25">
      <c r="B14" s="229"/>
      <c r="C14" s="15" t="s">
        <v>168</v>
      </c>
      <c r="D14" s="9" t="s">
        <v>248</v>
      </c>
      <c r="E14" s="108">
        <v>100</v>
      </c>
      <c r="F14" s="24">
        <v>130</v>
      </c>
      <c r="G14" s="17">
        <f>E14*3/100</f>
        <v>3</v>
      </c>
      <c r="H14" s="27">
        <f>F14*3/100</f>
        <v>3.9</v>
      </c>
      <c r="I14" s="17">
        <f>E14*2.5/100</f>
        <v>2.5</v>
      </c>
      <c r="J14" s="27">
        <f>F14*2.5/100</f>
        <v>3.25</v>
      </c>
      <c r="K14" s="17">
        <f>E14*11/100</f>
        <v>11</v>
      </c>
      <c r="L14" s="27">
        <f>F14*11/100</f>
        <v>14.3</v>
      </c>
      <c r="M14" s="17">
        <f t="shared" ref="M14:N14" si="5">G14*4+I14*9+K14*4</f>
        <v>78.5</v>
      </c>
      <c r="N14" s="29">
        <f t="shared" si="5"/>
        <v>102.05000000000001</v>
      </c>
    </row>
    <row r="15" spans="2:26" x14ac:dyDescent="0.25">
      <c r="B15" s="229"/>
      <c r="C15" s="15"/>
      <c r="D15" s="4" t="s">
        <v>84</v>
      </c>
      <c r="E15" s="21">
        <f t="shared" ref="E15:L15" si="6">SUM(E14)</f>
        <v>100</v>
      </c>
      <c r="F15" s="26">
        <f t="shared" si="6"/>
        <v>130</v>
      </c>
      <c r="G15" s="7">
        <f t="shared" si="6"/>
        <v>3</v>
      </c>
      <c r="H15" s="28">
        <f t="shared" si="6"/>
        <v>3.9</v>
      </c>
      <c r="I15" s="7">
        <f t="shared" si="6"/>
        <v>2.5</v>
      </c>
      <c r="J15" s="28">
        <f t="shared" si="6"/>
        <v>3.25</v>
      </c>
      <c r="K15" s="7">
        <f t="shared" si="6"/>
        <v>11</v>
      </c>
      <c r="L15" s="28">
        <f t="shared" si="6"/>
        <v>14.3</v>
      </c>
      <c r="M15" s="7">
        <f>G15*4+I15*9+K15*4</f>
        <v>78.5</v>
      </c>
      <c r="N15" s="30">
        <f>H15*4+J15*9+L15*4</f>
        <v>102.05000000000001</v>
      </c>
    </row>
    <row r="16" spans="2:26" x14ac:dyDescent="0.25">
      <c r="B16" s="229"/>
      <c r="C16" s="200" t="s">
        <v>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2:14" x14ac:dyDescent="0.25">
      <c r="B17" s="229"/>
      <c r="C17" s="55" t="s">
        <v>241</v>
      </c>
      <c r="D17" s="9" t="s">
        <v>242</v>
      </c>
      <c r="E17" s="112">
        <v>30</v>
      </c>
      <c r="F17" s="31">
        <v>50</v>
      </c>
      <c r="G17" s="17">
        <f>E17*1.4/100</f>
        <v>0.42</v>
      </c>
      <c r="H17" s="27">
        <f>F17*1.4/100</f>
        <v>0.7</v>
      </c>
      <c r="I17" s="17">
        <f>E17*6.1/100</f>
        <v>1.83</v>
      </c>
      <c r="J17" s="27">
        <f>F17*6.1/100</f>
        <v>3.05</v>
      </c>
      <c r="K17" s="17">
        <f>E17*7.63/100</f>
        <v>2.2890000000000001</v>
      </c>
      <c r="L17" s="27">
        <f>F17*7.63/100</f>
        <v>3.8149999999999999</v>
      </c>
      <c r="M17" s="19">
        <f t="shared" ref="M17:N18" si="7">G17*4+I17*9+K17*4</f>
        <v>27.305999999999997</v>
      </c>
      <c r="N17" s="34">
        <f t="shared" si="7"/>
        <v>45.51</v>
      </c>
    </row>
    <row r="18" spans="2:14" x14ac:dyDescent="0.25">
      <c r="B18" s="229"/>
      <c r="C18" s="44" t="s">
        <v>221</v>
      </c>
      <c r="D18" s="124" t="s">
        <v>222</v>
      </c>
      <c r="E18" s="123">
        <v>150</v>
      </c>
      <c r="F18" s="36">
        <v>180</v>
      </c>
      <c r="G18" s="17">
        <f>E18*1.93/100</f>
        <v>2.895</v>
      </c>
      <c r="H18" s="27">
        <f>F18*1.93/100</f>
        <v>3.4739999999999998</v>
      </c>
      <c r="I18" s="17">
        <f>E18*2.85/100</f>
        <v>4.2750000000000004</v>
      </c>
      <c r="J18" s="27">
        <f>F18*2.85/100</f>
        <v>5.13</v>
      </c>
      <c r="K18" s="17">
        <f>E18*5.96/100</f>
        <v>8.94</v>
      </c>
      <c r="L18" s="27">
        <f>F18*5.96/100</f>
        <v>10.728</v>
      </c>
      <c r="M18" s="19">
        <f t="shared" si="7"/>
        <v>85.814999999999998</v>
      </c>
      <c r="N18" s="34">
        <f t="shared" si="7"/>
        <v>102.97800000000001</v>
      </c>
    </row>
    <row r="19" spans="2:14" x14ac:dyDescent="0.25">
      <c r="B19" s="229"/>
      <c r="C19" s="15" t="s">
        <v>18</v>
      </c>
      <c r="D19" s="9" t="s">
        <v>19</v>
      </c>
      <c r="E19" s="105">
        <v>120</v>
      </c>
      <c r="F19" s="25">
        <v>160</v>
      </c>
      <c r="G19" s="17">
        <f>E19*2.1/100</f>
        <v>2.52</v>
      </c>
      <c r="H19" s="27">
        <f>F19*2.1/100</f>
        <v>3.36</v>
      </c>
      <c r="I19" s="17">
        <f>E19*4.5/100</f>
        <v>5.4</v>
      </c>
      <c r="J19" s="27">
        <f>F19*4.5/100</f>
        <v>7.2</v>
      </c>
      <c r="K19" s="17">
        <f>E19*14.6/100</f>
        <v>17.52</v>
      </c>
      <c r="L19" s="27">
        <f>F19*14.6/100</f>
        <v>23.36</v>
      </c>
      <c r="M19" s="17">
        <f t="shared" ref="M19:N24" si="8">G19*4+I19*9+K19*4</f>
        <v>128.76</v>
      </c>
      <c r="N19" s="29">
        <f t="shared" si="8"/>
        <v>171.68</v>
      </c>
    </row>
    <row r="20" spans="2:14" x14ac:dyDescent="0.25">
      <c r="B20" s="229"/>
      <c r="C20" s="15" t="s">
        <v>111</v>
      </c>
      <c r="D20" s="9" t="s">
        <v>112</v>
      </c>
      <c r="E20" s="105">
        <v>50</v>
      </c>
      <c r="F20" s="25">
        <v>70</v>
      </c>
      <c r="G20" s="17">
        <f>E20*11/100</f>
        <v>5.5</v>
      </c>
      <c r="H20" s="27">
        <f>F20*11/100</f>
        <v>7.7</v>
      </c>
      <c r="I20" s="17">
        <f>E20*12.4/100</f>
        <v>6.2</v>
      </c>
      <c r="J20" s="27">
        <f>F20*12.4/100</f>
        <v>8.68</v>
      </c>
      <c r="K20" s="17">
        <f>E20*4/100</f>
        <v>2</v>
      </c>
      <c r="L20" s="27">
        <f>F20*4/100</f>
        <v>2.8</v>
      </c>
      <c r="M20" s="17">
        <f t="shared" si="8"/>
        <v>85.800000000000011</v>
      </c>
      <c r="N20" s="29">
        <f t="shared" si="8"/>
        <v>120.12</v>
      </c>
    </row>
    <row r="21" spans="2:14" x14ac:dyDescent="0.25">
      <c r="B21" s="229"/>
      <c r="C21" s="15" t="s">
        <v>262</v>
      </c>
      <c r="D21" s="9" t="s">
        <v>263</v>
      </c>
      <c r="E21" s="112">
        <v>30</v>
      </c>
      <c r="F21" s="25">
        <v>40</v>
      </c>
      <c r="G21" s="17">
        <f>E21*1.3/50</f>
        <v>0.78</v>
      </c>
      <c r="H21" s="27">
        <f>F21*1.3/50</f>
        <v>1.04</v>
      </c>
      <c r="I21" s="17">
        <f>E21*4.8/50</f>
        <v>2.88</v>
      </c>
      <c r="J21" s="27">
        <f>F21*4.8/50</f>
        <v>3.84</v>
      </c>
      <c r="K21" s="17">
        <f>E21*4.7/50</f>
        <v>2.82</v>
      </c>
      <c r="L21" s="27">
        <f>F21*4.7/50</f>
        <v>3.76</v>
      </c>
      <c r="M21" s="17">
        <f t="shared" si="8"/>
        <v>40.32</v>
      </c>
      <c r="N21" s="29">
        <f t="shared" si="8"/>
        <v>53.76</v>
      </c>
    </row>
    <row r="22" spans="2:14" x14ac:dyDescent="0.25">
      <c r="B22" s="229"/>
      <c r="C22" s="15" t="s">
        <v>52</v>
      </c>
      <c r="D22" s="9" t="s">
        <v>53</v>
      </c>
      <c r="E22" s="105">
        <v>150</v>
      </c>
      <c r="F22" s="25">
        <v>200</v>
      </c>
      <c r="G22" s="17">
        <f>E22*0.6/200</f>
        <v>0.45</v>
      </c>
      <c r="H22" s="27">
        <f>F22*0.6/200</f>
        <v>0.6</v>
      </c>
      <c r="I22" s="17">
        <f t="shared" ref="I22:J22" si="9">E22*0.1/200</f>
        <v>7.4999999999999997E-2</v>
      </c>
      <c r="J22" s="27">
        <f t="shared" si="9"/>
        <v>0.1</v>
      </c>
      <c r="K22" s="17">
        <f>E22*20.1/200</f>
        <v>15.074999999999999</v>
      </c>
      <c r="L22" s="27">
        <f>F22*20.1/200</f>
        <v>20.100000000000001</v>
      </c>
      <c r="M22" s="17">
        <f t="shared" si="8"/>
        <v>62.774999999999999</v>
      </c>
      <c r="N22" s="29">
        <f t="shared" si="8"/>
        <v>83.7</v>
      </c>
    </row>
    <row r="23" spans="2:14" x14ac:dyDescent="0.25">
      <c r="B23" s="229"/>
      <c r="C23" s="16" t="s">
        <v>165</v>
      </c>
      <c r="D23" s="6" t="s">
        <v>21</v>
      </c>
      <c r="E23" s="63">
        <v>25</v>
      </c>
      <c r="F23" s="60">
        <v>35</v>
      </c>
      <c r="G23" s="17">
        <f>E23*8/100</f>
        <v>2</v>
      </c>
      <c r="H23" s="27">
        <f>F23*8/100</f>
        <v>2.8</v>
      </c>
      <c r="I23" s="17">
        <f>E23*1.5/100</f>
        <v>0.375</v>
      </c>
      <c r="J23" s="27">
        <f>F23*1.5/100</f>
        <v>0.52500000000000002</v>
      </c>
      <c r="K23" s="17">
        <f>E23*40.1/100</f>
        <v>10.025</v>
      </c>
      <c r="L23" s="27">
        <f>F23*40.1/100</f>
        <v>14.035</v>
      </c>
      <c r="M23" s="17">
        <f t="shared" si="8"/>
        <v>51.475000000000001</v>
      </c>
      <c r="N23" s="29">
        <f t="shared" si="8"/>
        <v>72.064999999999998</v>
      </c>
    </row>
    <row r="24" spans="2:14" x14ac:dyDescent="0.25">
      <c r="B24" s="229"/>
      <c r="C24" s="16" t="s">
        <v>163</v>
      </c>
      <c r="D24" s="6" t="s">
        <v>164</v>
      </c>
      <c r="E24" s="63">
        <v>25</v>
      </c>
      <c r="F24" s="60">
        <v>35</v>
      </c>
      <c r="G24" s="17">
        <f>E24*7.6/100</f>
        <v>1.9</v>
      </c>
      <c r="H24" s="27">
        <f>F24*7.6/100</f>
        <v>2.66</v>
      </c>
      <c r="I24" s="17">
        <f>E24*0.8/100</f>
        <v>0.2</v>
      </c>
      <c r="J24" s="27">
        <f>F24*0.8/100</f>
        <v>0.28000000000000003</v>
      </c>
      <c r="K24" s="17">
        <f>E24*49.2/100</f>
        <v>12.3</v>
      </c>
      <c r="L24" s="27">
        <f>F24*49.2/100</f>
        <v>17.22</v>
      </c>
      <c r="M24" s="17">
        <f t="shared" si="8"/>
        <v>58.6</v>
      </c>
      <c r="N24" s="29">
        <f t="shared" si="8"/>
        <v>82.039999999999992</v>
      </c>
    </row>
    <row r="25" spans="2:14" x14ac:dyDescent="0.25">
      <c r="B25" s="229"/>
      <c r="C25" s="16"/>
      <c r="D25" s="4" t="s">
        <v>14</v>
      </c>
      <c r="E25" s="21">
        <f t="shared" ref="E25:N25" si="10">SUM(E17:E24)</f>
        <v>580</v>
      </c>
      <c r="F25" s="32">
        <f t="shared" si="10"/>
        <v>770</v>
      </c>
      <c r="G25" s="7">
        <f t="shared" si="10"/>
        <v>16.465</v>
      </c>
      <c r="H25" s="28">
        <f t="shared" si="10"/>
        <v>22.334</v>
      </c>
      <c r="I25" s="7">
        <f t="shared" si="10"/>
        <v>21.234999999999999</v>
      </c>
      <c r="J25" s="28">
        <f t="shared" si="10"/>
        <v>28.805</v>
      </c>
      <c r="K25" s="7">
        <f t="shared" si="10"/>
        <v>70.968999999999994</v>
      </c>
      <c r="L25" s="28">
        <f t="shared" si="10"/>
        <v>95.817999999999984</v>
      </c>
      <c r="M25" s="7">
        <f t="shared" si="10"/>
        <v>540.851</v>
      </c>
      <c r="N25" s="30">
        <f t="shared" si="10"/>
        <v>731.85300000000007</v>
      </c>
    </row>
    <row r="26" spans="2:14" x14ac:dyDescent="0.25">
      <c r="B26" s="229"/>
      <c r="C26" s="213" t="s">
        <v>88</v>
      </c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/>
    </row>
    <row r="27" spans="2:14" x14ac:dyDescent="0.25">
      <c r="B27" s="229"/>
      <c r="C27" s="15" t="s">
        <v>100</v>
      </c>
      <c r="D27" s="124" t="s">
        <v>101</v>
      </c>
      <c r="E27" s="122">
        <v>70</v>
      </c>
      <c r="F27" s="125">
        <v>100</v>
      </c>
      <c r="G27" s="17">
        <f>E27*13/100</f>
        <v>9.1</v>
      </c>
      <c r="H27" s="27">
        <f>F27*13/100</f>
        <v>13</v>
      </c>
      <c r="I27" s="17">
        <f>E27*6/100</f>
        <v>4.2</v>
      </c>
      <c r="J27" s="27">
        <f>F27*6/100</f>
        <v>6</v>
      </c>
      <c r="K27" s="17">
        <f>E27*13/100</f>
        <v>9.1</v>
      </c>
      <c r="L27" s="27">
        <f>F27*13/100</f>
        <v>13</v>
      </c>
      <c r="M27" s="17">
        <f t="shared" ref="M27:N29" si="11">G27*4+I27*9+K27*4</f>
        <v>110.6</v>
      </c>
      <c r="N27" s="29">
        <f t="shared" si="11"/>
        <v>158</v>
      </c>
    </row>
    <row r="28" spans="2:14" x14ac:dyDescent="0.25">
      <c r="B28" s="229"/>
      <c r="C28" s="15" t="s">
        <v>266</v>
      </c>
      <c r="D28" s="9" t="s">
        <v>267</v>
      </c>
      <c r="E28" s="112">
        <v>35</v>
      </c>
      <c r="F28" s="25">
        <v>40</v>
      </c>
      <c r="G28" s="17">
        <f>E28*2.6/100</f>
        <v>0.91</v>
      </c>
      <c r="H28" s="27">
        <f>F28*2.6/100</f>
        <v>1.04</v>
      </c>
      <c r="I28" s="17">
        <f>E28*5.8/100</f>
        <v>2.0299999999999998</v>
      </c>
      <c r="J28" s="27">
        <f>F28*5.8/100</f>
        <v>2.3199999999999998</v>
      </c>
      <c r="K28" s="17">
        <f>E28*16.2/100</f>
        <v>5.67</v>
      </c>
      <c r="L28" s="27">
        <f>F28*16.2/100</f>
        <v>6.48</v>
      </c>
      <c r="M28" s="17">
        <f t="shared" si="11"/>
        <v>44.59</v>
      </c>
      <c r="N28" s="29">
        <f t="shared" si="11"/>
        <v>50.96</v>
      </c>
    </row>
    <row r="29" spans="2:14" x14ac:dyDescent="0.25">
      <c r="B29" s="229"/>
      <c r="C29" s="15" t="s">
        <v>91</v>
      </c>
      <c r="D29" s="9" t="s">
        <v>92</v>
      </c>
      <c r="E29" s="112">
        <v>180</v>
      </c>
      <c r="F29" s="25">
        <v>200</v>
      </c>
      <c r="G29" s="17">
        <f>E29*1.4/200</f>
        <v>1.2599999999999998</v>
      </c>
      <c r="H29" s="27">
        <f>F29*1.4/200</f>
        <v>1.4</v>
      </c>
      <c r="I29" s="17">
        <f>E29*1.2/200</f>
        <v>1.08</v>
      </c>
      <c r="J29" s="27">
        <f>F29*1.2/200</f>
        <v>1.2</v>
      </c>
      <c r="K29" s="17">
        <f>E29*11.4/200</f>
        <v>10.26</v>
      </c>
      <c r="L29" s="27">
        <f>F29*11.4/200</f>
        <v>11.4</v>
      </c>
      <c r="M29" s="17">
        <f t="shared" si="11"/>
        <v>55.8</v>
      </c>
      <c r="N29" s="29">
        <f t="shared" si="11"/>
        <v>62</v>
      </c>
    </row>
    <row r="30" spans="2:14" x14ac:dyDescent="0.25">
      <c r="B30" s="229"/>
      <c r="C30" s="42"/>
      <c r="D30" s="49" t="s">
        <v>85</v>
      </c>
      <c r="E30" s="50">
        <f t="shared" ref="E30:N30" si="12">SUM(E27:E29)</f>
        <v>285</v>
      </c>
      <c r="F30" s="51">
        <f t="shared" si="12"/>
        <v>340</v>
      </c>
      <c r="G30" s="52">
        <f t="shared" si="12"/>
        <v>11.27</v>
      </c>
      <c r="H30" s="53">
        <f t="shared" si="12"/>
        <v>15.44</v>
      </c>
      <c r="I30" s="52">
        <f t="shared" si="12"/>
        <v>7.3100000000000005</v>
      </c>
      <c r="J30" s="53">
        <f t="shared" si="12"/>
        <v>9.52</v>
      </c>
      <c r="K30" s="52">
        <f t="shared" si="12"/>
        <v>25.03</v>
      </c>
      <c r="L30" s="53">
        <f t="shared" si="12"/>
        <v>30.880000000000003</v>
      </c>
      <c r="M30" s="52">
        <f t="shared" si="12"/>
        <v>210.99</v>
      </c>
      <c r="N30" s="54">
        <f t="shared" si="12"/>
        <v>270.96000000000004</v>
      </c>
    </row>
    <row r="31" spans="2:14" ht="15.75" thickBot="1" x14ac:dyDescent="0.3">
      <c r="B31" s="230"/>
      <c r="C31" s="22"/>
      <c r="D31" s="13" t="s">
        <v>12</v>
      </c>
      <c r="E31" s="18"/>
      <c r="F31" s="43"/>
      <c r="G31" s="14">
        <f t="shared" ref="G31:N31" si="13">G30+G25+G15+G12</f>
        <v>38.400999999999996</v>
      </c>
      <c r="H31" s="33">
        <f t="shared" si="13"/>
        <v>50.487000000000002</v>
      </c>
      <c r="I31" s="14">
        <f t="shared" si="13"/>
        <v>42.873000000000005</v>
      </c>
      <c r="J31" s="33">
        <f t="shared" si="13"/>
        <v>55.731999999999999</v>
      </c>
      <c r="K31" s="14">
        <f t="shared" si="13"/>
        <v>155.46100000000001</v>
      </c>
      <c r="L31" s="33">
        <f t="shared" si="13"/>
        <v>196.49</v>
      </c>
      <c r="M31" s="14">
        <f t="shared" si="13"/>
        <v>1161.3050000000001</v>
      </c>
      <c r="N31" s="35">
        <f t="shared" si="13"/>
        <v>1489.4960000000001</v>
      </c>
    </row>
  </sheetData>
  <mergeCells count="15">
    <mergeCell ref="M4:N5"/>
    <mergeCell ref="G5:H5"/>
    <mergeCell ref="I5:J5"/>
    <mergeCell ref="K5:L5"/>
    <mergeCell ref="B3:E3"/>
    <mergeCell ref="B4:B6"/>
    <mergeCell ref="C4:C6"/>
    <mergeCell ref="D4:D6"/>
    <mergeCell ref="E4:F5"/>
    <mergeCell ref="G4:L4"/>
    <mergeCell ref="B7:B31"/>
    <mergeCell ref="C7:N7"/>
    <mergeCell ref="C13:N13"/>
    <mergeCell ref="C16:N16"/>
    <mergeCell ref="C26:N2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4.9989318521683403E-2"/>
    <pageSetUpPr fitToPage="1"/>
  </sheetPr>
  <dimension ref="B3:Z29"/>
  <sheetViews>
    <sheetView zoomScale="90" zoomScaleNormal="90" zoomScalePageLayoutView="90" workbookViewId="0">
      <selection activeCell="B7" sqref="B7:B29"/>
    </sheetView>
  </sheetViews>
  <sheetFormatPr defaultColWidth="9.140625" defaultRowHeight="15" x14ac:dyDescent="0.25"/>
  <cols>
    <col min="1" max="1" width="5.7109375" style="12" customWidth="1"/>
    <col min="2" max="2" width="2.7109375" style="12" customWidth="1"/>
    <col min="3" max="3" width="10.5703125" style="12" customWidth="1"/>
    <col min="4" max="4" width="37.57031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7.5703125" style="12" customWidth="1"/>
    <col min="15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3" spans="2:26" ht="21" customHeight="1" thickBot="1" x14ac:dyDescent="0.3">
      <c r="B3" s="194" t="s">
        <v>54</v>
      </c>
      <c r="C3" s="194"/>
      <c r="D3" s="194"/>
      <c r="E3" s="194"/>
      <c r="O3" s="2"/>
      <c r="P3" s="2"/>
      <c r="Q3" s="1"/>
      <c r="R3" s="1"/>
      <c r="S3" s="1"/>
      <c r="T3" s="1"/>
      <c r="U3" s="2"/>
      <c r="V3" s="2"/>
      <c r="W3" s="1"/>
      <c r="X3" s="1"/>
      <c r="Y3" s="1"/>
      <c r="Z3" s="1"/>
    </row>
    <row r="4" spans="2:26" ht="15" customHeight="1" x14ac:dyDescent="0.25">
      <c r="B4" s="219" t="s">
        <v>38</v>
      </c>
      <c r="C4" s="203" t="s">
        <v>0</v>
      </c>
      <c r="D4" s="206" t="s">
        <v>1</v>
      </c>
      <c r="E4" s="209" t="s">
        <v>6</v>
      </c>
      <c r="F4" s="210"/>
      <c r="G4" s="222" t="s">
        <v>7</v>
      </c>
      <c r="H4" s="222"/>
      <c r="I4" s="222"/>
      <c r="J4" s="222"/>
      <c r="K4" s="222"/>
      <c r="L4" s="222"/>
      <c r="M4" s="223" t="s">
        <v>5</v>
      </c>
      <c r="N4" s="224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x14ac:dyDescent="0.25">
      <c r="B5" s="220"/>
      <c r="C5" s="204"/>
      <c r="D5" s="207"/>
      <c r="E5" s="211"/>
      <c r="F5" s="212"/>
      <c r="G5" s="227" t="s">
        <v>3</v>
      </c>
      <c r="H5" s="227"/>
      <c r="I5" s="225" t="s">
        <v>2</v>
      </c>
      <c r="J5" s="225"/>
      <c r="K5" s="227" t="s">
        <v>4</v>
      </c>
      <c r="L5" s="227"/>
      <c r="M5" s="225"/>
      <c r="N5" s="226"/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23.25" customHeight="1" thickBot="1" x14ac:dyDescent="0.3">
      <c r="B6" s="221"/>
      <c r="C6" s="205"/>
      <c r="D6" s="208"/>
      <c r="E6" s="56" t="s">
        <v>86</v>
      </c>
      <c r="F6" s="57" t="s">
        <v>87</v>
      </c>
      <c r="G6" s="56" t="s">
        <v>86</v>
      </c>
      <c r="H6" s="58" t="s">
        <v>87</v>
      </c>
      <c r="I6" s="56" t="s">
        <v>86</v>
      </c>
      <c r="J6" s="58" t="s">
        <v>87</v>
      </c>
      <c r="K6" s="56" t="s">
        <v>86</v>
      </c>
      <c r="L6" s="58" t="s">
        <v>87</v>
      </c>
      <c r="M6" s="56" t="s">
        <v>86</v>
      </c>
      <c r="N6" s="59" t="s">
        <v>87</v>
      </c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ht="15" customHeight="1" x14ac:dyDescent="0.25">
      <c r="B7" s="228" t="s">
        <v>39</v>
      </c>
      <c r="C7" s="197" t="s">
        <v>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  <c r="Q7" s="12" t="s">
        <v>22</v>
      </c>
    </row>
    <row r="8" spans="2:26" x14ac:dyDescent="0.25">
      <c r="B8" s="229"/>
      <c r="C8" s="15" t="s">
        <v>188</v>
      </c>
      <c r="D8" s="8" t="s">
        <v>89</v>
      </c>
      <c r="E8" s="105">
        <v>140</v>
      </c>
      <c r="F8" s="24">
        <v>160</v>
      </c>
      <c r="G8" s="17">
        <f>E8*3.5/100</f>
        <v>4.9000000000000004</v>
      </c>
      <c r="H8" s="27">
        <f>F8*3.5/100</f>
        <v>5.6</v>
      </c>
      <c r="I8" s="17">
        <f>E8*4.13/100</f>
        <v>5.7819999999999991</v>
      </c>
      <c r="J8" s="27">
        <f>F8*4.13/100</f>
        <v>6.6079999999999997</v>
      </c>
      <c r="K8" s="17">
        <f>E8*14.21/100</f>
        <v>19.894000000000002</v>
      </c>
      <c r="L8" s="27">
        <f>F8*14.21/100</f>
        <v>22.736000000000004</v>
      </c>
      <c r="M8" s="17">
        <f t="shared" ref="M8:N12" si="0">G8*4+I8*9+K8*4</f>
        <v>151.214</v>
      </c>
      <c r="N8" s="29">
        <f t="shared" si="0"/>
        <v>172.816</v>
      </c>
    </row>
    <row r="9" spans="2:26" x14ac:dyDescent="0.25">
      <c r="B9" s="229"/>
      <c r="C9" s="16" t="s">
        <v>211</v>
      </c>
      <c r="D9" s="92" t="s">
        <v>212</v>
      </c>
      <c r="E9" s="63">
        <v>25</v>
      </c>
      <c r="F9" s="60">
        <v>35</v>
      </c>
      <c r="G9" s="93">
        <f>E9*7.5/100</f>
        <v>1.875</v>
      </c>
      <c r="H9" s="37">
        <f>F9*7.5/100</f>
        <v>2.625</v>
      </c>
      <c r="I9" s="94">
        <f>E9*2.9/100</f>
        <v>0.72499999999999998</v>
      </c>
      <c r="J9" s="27">
        <f>F9*2.9/100</f>
        <v>1.0149999999999999</v>
      </c>
      <c r="K9" s="94">
        <f>E9*51.4/100</f>
        <v>12.85</v>
      </c>
      <c r="L9" s="27">
        <f>F9*51.4/100</f>
        <v>17.989999999999998</v>
      </c>
      <c r="M9" s="94">
        <f t="shared" si="0"/>
        <v>65.424999999999997</v>
      </c>
      <c r="N9" s="29">
        <f t="shared" si="0"/>
        <v>91.594999999999999</v>
      </c>
    </row>
    <row r="10" spans="2:26" x14ac:dyDescent="0.25">
      <c r="B10" s="229"/>
      <c r="C10" s="16" t="s">
        <v>35</v>
      </c>
      <c r="D10" s="47" t="s">
        <v>90</v>
      </c>
      <c r="E10" s="105">
        <v>15</v>
      </c>
      <c r="F10" s="48">
        <v>20</v>
      </c>
      <c r="G10" s="20">
        <f>E10*0/10</f>
        <v>0</v>
      </c>
      <c r="H10" s="61">
        <f>F10*0/10</f>
        <v>0</v>
      </c>
      <c r="I10" s="20">
        <f>E10*0/10</f>
        <v>0</v>
      </c>
      <c r="J10" s="61">
        <f>F10*0/10</f>
        <v>0</v>
      </c>
      <c r="K10" s="17">
        <f>E10*61/100</f>
        <v>9.15</v>
      </c>
      <c r="L10" s="27">
        <f>F10*61/100</f>
        <v>12.2</v>
      </c>
      <c r="M10" s="17">
        <f t="shared" si="0"/>
        <v>36.6</v>
      </c>
      <c r="N10" s="29">
        <f t="shared" si="0"/>
        <v>48.8</v>
      </c>
    </row>
    <row r="11" spans="2:26" x14ac:dyDescent="0.25">
      <c r="B11" s="229"/>
      <c r="C11" s="15" t="s">
        <v>93</v>
      </c>
      <c r="D11" s="9" t="s">
        <v>94</v>
      </c>
      <c r="E11" s="112">
        <v>180</v>
      </c>
      <c r="F11" s="25">
        <v>200</v>
      </c>
      <c r="G11" s="17">
        <f>E11*1.65/100</f>
        <v>2.97</v>
      </c>
      <c r="H11" s="27">
        <f>F11*1.65/100</f>
        <v>3.3</v>
      </c>
      <c r="I11" s="17">
        <f>E11*1.45/100</f>
        <v>2.61</v>
      </c>
      <c r="J11" s="27">
        <f>F11*1.45/100</f>
        <v>2.9</v>
      </c>
      <c r="K11" s="17">
        <f>E11*6.9/100</f>
        <v>12.42</v>
      </c>
      <c r="L11" s="27">
        <f>F11*6.9/100</f>
        <v>13.8</v>
      </c>
      <c r="M11" s="17">
        <f t="shared" si="0"/>
        <v>85.05</v>
      </c>
      <c r="N11" s="29">
        <f t="shared" si="0"/>
        <v>94.5</v>
      </c>
    </row>
    <row r="12" spans="2:26" x14ac:dyDescent="0.25">
      <c r="B12" s="229"/>
      <c r="C12" s="23"/>
      <c r="D12" s="4" t="s">
        <v>13</v>
      </c>
      <c r="E12" s="21">
        <f>SUM(E8:E11)</f>
        <v>360</v>
      </c>
      <c r="F12" s="26">
        <f t="shared" ref="F12" si="1">SUM(F8:F11)</f>
        <v>415</v>
      </c>
      <c r="G12" s="7">
        <f>SUM(G8:G11)</f>
        <v>9.745000000000001</v>
      </c>
      <c r="H12" s="28">
        <f t="shared" ref="H12:K12" si="2">SUM(H8:H11)</f>
        <v>11.524999999999999</v>
      </c>
      <c r="I12" s="7">
        <f t="shared" si="2"/>
        <v>9.1169999999999991</v>
      </c>
      <c r="J12" s="28">
        <f t="shared" si="2"/>
        <v>10.523</v>
      </c>
      <c r="K12" s="7">
        <f t="shared" si="2"/>
        <v>54.314</v>
      </c>
      <c r="L12" s="28">
        <f>SUM(L8:L11)</f>
        <v>66.725999999999999</v>
      </c>
      <c r="M12" s="7">
        <f>G12*4+I12*9+K12*4</f>
        <v>338.28899999999999</v>
      </c>
      <c r="N12" s="30">
        <f t="shared" si="0"/>
        <v>407.71100000000001</v>
      </c>
    </row>
    <row r="13" spans="2:26" x14ac:dyDescent="0.25">
      <c r="B13" s="229"/>
      <c r="C13" s="200" t="s">
        <v>83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  <row r="14" spans="2:26" x14ac:dyDescent="0.25">
      <c r="B14" s="229"/>
      <c r="C14" s="16" t="s">
        <v>215</v>
      </c>
      <c r="D14" s="6" t="s">
        <v>216</v>
      </c>
      <c r="E14" s="105">
        <v>150</v>
      </c>
      <c r="F14" s="25">
        <v>150</v>
      </c>
      <c r="G14" s="17">
        <f>E14*0.4/100</f>
        <v>0.6</v>
      </c>
      <c r="H14" s="27">
        <f>F14*0.4/100</f>
        <v>0.6</v>
      </c>
      <c r="I14" s="17">
        <f>E14*0.4/100</f>
        <v>0.6</v>
      </c>
      <c r="J14" s="27">
        <f>F14*0.4/100</f>
        <v>0.6</v>
      </c>
      <c r="K14" s="17">
        <f>E14*9.8/100</f>
        <v>14.7</v>
      </c>
      <c r="L14" s="27">
        <f>F14*9.8/100</f>
        <v>14.7</v>
      </c>
      <c r="M14" s="17">
        <f t="shared" ref="M14:N14" si="3">G14*4+I14*9+K14*4</f>
        <v>66.599999999999994</v>
      </c>
      <c r="N14" s="29">
        <f t="shared" si="3"/>
        <v>66.599999999999994</v>
      </c>
    </row>
    <row r="15" spans="2:26" x14ac:dyDescent="0.25">
      <c r="B15" s="229"/>
      <c r="C15" s="15"/>
      <c r="D15" s="4" t="s">
        <v>84</v>
      </c>
      <c r="E15" s="21">
        <f t="shared" ref="E15:L15" si="4">SUM(E14)</f>
        <v>150</v>
      </c>
      <c r="F15" s="26">
        <f t="shared" si="4"/>
        <v>150</v>
      </c>
      <c r="G15" s="7">
        <f t="shared" si="4"/>
        <v>0.6</v>
      </c>
      <c r="H15" s="28">
        <f t="shared" si="4"/>
        <v>0.6</v>
      </c>
      <c r="I15" s="7">
        <f t="shared" si="4"/>
        <v>0.6</v>
      </c>
      <c r="J15" s="28">
        <f t="shared" si="4"/>
        <v>0.6</v>
      </c>
      <c r="K15" s="7">
        <f t="shared" si="4"/>
        <v>14.7</v>
      </c>
      <c r="L15" s="28">
        <f t="shared" si="4"/>
        <v>14.7</v>
      </c>
      <c r="M15" s="7">
        <f>G15*4+I15*9+K15*4</f>
        <v>66.599999999999994</v>
      </c>
      <c r="N15" s="30">
        <f>H15*4+J15*9+L15*4</f>
        <v>66.599999999999994</v>
      </c>
    </row>
    <row r="16" spans="2:26" x14ac:dyDescent="0.25">
      <c r="B16" s="229"/>
      <c r="C16" s="200" t="s">
        <v>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2:14" x14ac:dyDescent="0.25">
      <c r="B17" s="229"/>
      <c r="C17" s="15" t="s">
        <v>189</v>
      </c>
      <c r="D17" s="9" t="s">
        <v>190</v>
      </c>
      <c r="E17" s="106">
        <v>150</v>
      </c>
      <c r="F17" s="36">
        <v>180</v>
      </c>
      <c r="G17" s="17">
        <f>E17*0.94/100</f>
        <v>1.41</v>
      </c>
      <c r="H17" s="27">
        <f>F17*0.94/100</f>
        <v>1.6919999999999999</v>
      </c>
      <c r="I17" s="17">
        <f>E17*1.81/100</f>
        <v>2.7149999999999999</v>
      </c>
      <c r="J17" s="27">
        <f>F17*1.81/100</f>
        <v>3.258</v>
      </c>
      <c r="K17" s="17">
        <f>E17*3.82/100</f>
        <v>5.73</v>
      </c>
      <c r="L17" s="27">
        <f>F17*3.82/100</f>
        <v>6.8760000000000003</v>
      </c>
      <c r="M17" s="19">
        <f t="shared" ref="M17:N22" si="5">G17*4+I17*9+K17*4</f>
        <v>52.995000000000005</v>
      </c>
      <c r="N17" s="34">
        <f t="shared" si="5"/>
        <v>63.593999999999994</v>
      </c>
    </row>
    <row r="18" spans="2:14" x14ac:dyDescent="0.25">
      <c r="B18" s="229"/>
      <c r="C18" s="15" t="s">
        <v>191</v>
      </c>
      <c r="D18" s="8" t="s">
        <v>192</v>
      </c>
      <c r="E18" s="105">
        <v>120</v>
      </c>
      <c r="F18" s="25">
        <v>150</v>
      </c>
      <c r="G18" s="17">
        <f>E18*11/100</f>
        <v>13.2</v>
      </c>
      <c r="H18" s="27">
        <f>F18*11/100</f>
        <v>16.5</v>
      </c>
      <c r="I18" s="17">
        <f>E18*2.5/100</f>
        <v>3</v>
      </c>
      <c r="J18" s="27">
        <f>F18*2.5/100</f>
        <v>3.75</v>
      </c>
      <c r="K18" s="17">
        <f>E18*19.85/100</f>
        <v>23.82</v>
      </c>
      <c r="L18" s="27">
        <f>F18*19.85/100</f>
        <v>29.774999999999999</v>
      </c>
      <c r="M18" s="17">
        <f t="shared" si="5"/>
        <v>175.07999999999998</v>
      </c>
      <c r="N18" s="29">
        <f t="shared" si="5"/>
        <v>218.85</v>
      </c>
    </row>
    <row r="19" spans="2:14" x14ac:dyDescent="0.25">
      <c r="B19" s="229"/>
      <c r="C19" s="15" t="s">
        <v>103</v>
      </c>
      <c r="D19" s="9" t="s">
        <v>104</v>
      </c>
      <c r="E19" s="105">
        <v>50</v>
      </c>
      <c r="F19" s="25">
        <v>70</v>
      </c>
      <c r="G19" s="17">
        <f>E19*13.5/100</f>
        <v>6.75</v>
      </c>
      <c r="H19" s="27">
        <f>F19*13.5/100</f>
        <v>9.4499999999999993</v>
      </c>
      <c r="I19" s="17">
        <f>E19*21/100</f>
        <v>10.5</v>
      </c>
      <c r="J19" s="27">
        <f>F19*21/100</f>
        <v>14.7</v>
      </c>
      <c r="K19" s="17">
        <f>E19*9.9/100</f>
        <v>4.95</v>
      </c>
      <c r="L19" s="27">
        <f>F19*9.9/100</f>
        <v>6.93</v>
      </c>
      <c r="M19" s="17">
        <f t="shared" si="5"/>
        <v>141.30000000000001</v>
      </c>
      <c r="N19" s="29">
        <f t="shared" si="5"/>
        <v>197.81999999999996</v>
      </c>
    </row>
    <row r="20" spans="2:14" x14ac:dyDescent="0.25">
      <c r="B20" s="229"/>
      <c r="C20" s="15" t="s">
        <v>45</v>
      </c>
      <c r="D20" s="9" t="s">
        <v>95</v>
      </c>
      <c r="E20" s="105">
        <v>150</v>
      </c>
      <c r="F20" s="25">
        <v>180</v>
      </c>
      <c r="G20" s="17">
        <f>E20*0.67/200</f>
        <v>0.50249999999999995</v>
      </c>
      <c r="H20" s="27">
        <f>F20*0.67/200</f>
        <v>0.60300000000000009</v>
      </c>
      <c r="I20" s="17">
        <f>E20*0.27/200</f>
        <v>0.20250000000000001</v>
      </c>
      <c r="J20" s="27">
        <f>F20*0.27/200</f>
        <v>0.24299999999999999</v>
      </c>
      <c r="K20" s="17">
        <f>E20*18.3/200</f>
        <v>13.725</v>
      </c>
      <c r="L20" s="27">
        <f>F20*18.3/200</f>
        <v>16.47</v>
      </c>
      <c r="M20" s="17">
        <f t="shared" si="5"/>
        <v>58.732500000000002</v>
      </c>
      <c r="N20" s="29">
        <f t="shared" si="5"/>
        <v>70.478999999999999</v>
      </c>
    </row>
    <row r="21" spans="2:14" x14ac:dyDescent="0.25">
      <c r="B21" s="229"/>
      <c r="C21" s="16" t="s">
        <v>165</v>
      </c>
      <c r="D21" s="6" t="s">
        <v>21</v>
      </c>
      <c r="E21" s="63">
        <v>25</v>
      </c>
      <c r="F21" s="60">
        <v>30</v>
      </c>
      <c r="G21" s="17">
        <f>E21*8/100</f>
        <v>2</v>
      </c>
      <c r="H21" s="27">
        <f>F21*8/100</f>
        <v>2.4</v>
      </c>
      <c r="I21" s="17">
        <f>E21*1.5/100</f>
        <v>0.375</v>
      </c>
      <c r="J21" s="27">
        <f>F21*1.5/100</f>
        <v>0.45</v>
      </c>
      <c r="K21" s="17">
        <f>E21*40.1/100</f>
        <v>10.025</v>
      </c>
      <c r="L21" s="27">
        <f>F21*40.1/100</f>
        <v>12.03</v>
      </c>
      <c r="M21" s="17">
        <f t="shared" si="5"/>
        <v>51.475000000000001</v>
      </c>
      <c r="N21" s="29">
        <f t="shared" si="5"/>
        <v>61.769999999999996</v>
      </c>
    </row>
    <row r="22" spans="2:14" x14ac:dyDescent="0.25">
      <c r="B22" s="229"/>
      <c r="C22" s="16" t="s">
        <v>163</v>
      </c>
      <c r="D22" s="6" t="s">
        <v>164</v>
      </c>
      <c r="E22" s="63">
        <v>25</v>
      </c>
      <c r="F22" s="60">
        <v>30</v>
      </c>
      <c r="G22" s="17">
        <f>E22*7.6/100</f>
        <v>1.9</v>
      </c>
      <c r="H22" s="27">
        <f>F22*7.6/100</f>
        <v>2.2799999999999998</v>
      </c>
      <c r="I22" s="17">
        <f>E22*0.8/100</f>
        <v>0.2</v>
      </c>
      <c r="J22" s="27">
        <f>F22*0.8/100</f>
        <v>0.24</v>
      </c>
      <c r="K22" s="17">
        <f>E22*49.2/100</f>
        <v>12.3</v>
      </c>
      <c r="L22" s="27">
        <f>F22*49.2/100</f>
        <v>14.76</v>
      </c>
      <c r="M22" s="17">
        <f t="shared" si="5"/>
        <v>58.6</v>
      </c>
      <c r="N22" s="29">
        <f t="shared" si="5"/>
        <v>70.319999999999993</v>
      </c>
    </row>
    <row r="23" spans="2:14" x14ac:dyDescent="0.25">
      <c r="B23" s="229"/>
      <c r="C23" s="16"/>
      <c r="D23" s="4" t="s">
        <v>14</v>
      </c>
      <c r="E23" s="21">
        <f t="shared" ref="E23:N23" si="6">SUM(E17:E22)</f>
        <v>520</v>
      </c>
      <c r="F23" s="32">
        <f t="shared" si="6"/>
        <v>640</v>
      </c>
      <c r="G23" s="7">
        <f t="shared" si="6"/>
        <v>25.762499999999999</v>
      </c>
      <c r="H23" s="28">
        <f t="shared" si="6"/>
        <v>32.924999999999997</v>
      </c>
      <c r="I23" s="7">
        <f t="shared" si="6"/>
        <v>16.9925</v>
      </c>
      <c r="J23" s="28">
        <f t="shared" si="6"/>
        <v>22.640999999999995</v>
      </c>
      <c r="K23" s="7">
        <f t="shared" si="6"/>
        <v>70.55</v>
      </c>
      <c r="L23" s="28">
        <f t="shared" si="6"/>
        <v>86.840999999999994</v>
      </c>
      <c r="M23" s="7">
        <f t="shared" si="6"/>
        <v>538.1825</v>
      </c>
      <c r="N23" s="30">
        <f t="shared" si="6"/>
        <v>682.83299999999986</v>
      </c>
    </row>
    <row r="24" spans="2:14" x14ac:dyDescent="0.25">
      <c r="B24" s="229"/>
      <c r="C24" s="213" t="s">
        <v>88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</row>
    <row r="25" spans="2:14" x14ac:dyDescent="0.25">
      <c r="B25" s="229"/>
      <c r="C25" s="15" t="s">
        <v>193</v>
      </c>
      <c r="D25" s="115" t="s">
        <v>113</v>
      </c>
      <c r="E25" s="116">
        <v>75</v>
      </c>
      <c r="F25" s="117">
        <v>100</v>
      </c>
      <c r="G25" s="17">
        <f>E25*8.61/100</f>
        <v>6.4574999999999996</v>
      </c>
      <c r="H25" s="27">
        <f>F25*8.61/100</f>
        <v>8.61</v>
      </c>
      <c r="I25" s="17">
        <f>E25*13.07/100</f>
        <v>9.8025000000000002</v>
      </c>
      <c r="J25" s="27">
        <f>F25*13.07/100</f>
        <v>13.07</v>
      </c>
      <c r="K25" s="17">
        <f>E25*2.15/100</f>
        <v>1.6125</v>
      </c>
      <c r="L25" s="27">
        <f>F25*2.15/100</f>
        <v>2.15</v>
      </c>
      <c r="M25" s="17">
        <f t="shared" ref="M25:N27" si="7">G25*4+I25*9+K25*4</f>
        <v>120.5025</v>
      </c>
      <c r="N25" s="29">
        <f t="shared" si="7"/>
        <v>160.66999999999999</v>
      </c>
    </row>
    <row r="26" spans="2:14" x14ac:dyDescent="0.25">
      <c r="B26" s="229"/>
      <c r="C26" s="16" t="s">
        <v>163</v>
      </c>
      <c r="D26" s="6" t="s">
        <v>164</v>
      </c>
      <c r="E26" s="63">
        <v>30</v>
      </c>
      <c r="F26" s="60">
        <v>35</v>
      </c>
      <c r="G26" s="17">
        <f>E26*7.6/100</f>
        <v>2.2799999999999998</v>
      </c>
      <c r="H26" s="27">
        <f>F26*7.6/100</f>
        <v>2.66</v>
      </c>
      <c r="I26" s="17">
        <f>E26*0.8/100</f>
        <v>0.24</v>
      </c>
      <c r="J26" s="27">
        <f>F26*0.8/100</f>
        <v>0.28000000000000003</v>
      </c>
      <c r="K26" s="17">
        <f>E26*49.2/100</f>
        <v>14.76</v>
      </c>
      <c r="L26" s="27">
        <f>F26*49.2/100</f>
        <v>17.22</v>
      </c>
      <c r="M26" s="17">
        <f t="shared" si="7"/>
        <v>70.319999999999993</v>
      </c>
      <c r="N26" s="29">
        <f t="shared" si="7"/>
        <v>82.039999999999992</v>
      </c>
    </row>
    <row r="27" spans="2:14" x14ac:dyDescent="0.25">
      <c r="B27" s="229"/>
      <c r="C27" s="15" t="s">
        <v>47</v>
      </c>
      <c r="D27" s="9" t="s">
        <v>15</v>
      </c>
      <c r="E27" s="105">
        <v>150</v>
      </c>
      <c r="F27" s="25">
        <v>180</v>
      </c>
      <c r="G27" s="17">
        <f>E27*0.2/200</f>
        <v>0.15</v>
      </c>
      <c r="H27" s="27">
        <f>F27*0.2/200</f>
        <v>0.18</v>
      </c>
      <c r="I27" s="17">
        <f t="shared" ref="I27:J27" si="8">E27*0.1/200</f>
        <v>7.4999999999999997E-2</v>
      </c>
      <c r="J27" s="27">
        <f t="shared" si="8"/>
        <v>0.09</v>
      </c>
      <c r="K27" s="17">
        <f>E27*9.3/200</f>
        <v>6.9749999999999996</v>
      </c>
      <c r="L27" s="27">
        <f>F27*9.3/200</f>
        <v>8.370000000000001</v>
      </c>
      <c r="M27" s="17">
        <f t="shared" si="7"/>
        <v>29.174999999999997</v>
      </c>
      <c r="N27" s="29">
        <f t="shared" si="7"/>
        <v>35.010000000000005</v>
      </c>
    </row>
    <row r="28" spans="2:14" x14ac:dyDescent="0.25">
      <c r="B28" s="229"/>
      <c r="C28" s="42"/>
      <c r="D28" s="49" t="s">
        <v>85</v>
      </c>
      <c r="E28" s="50">
        <f t="shared" ref="E28:N28" si="9">SUM(E25:E27)</f>
        <v>255</v>
      </c>
      <c r="F28" s="51">
        <f t="shared" si="9"/>
        <v>315</v>
      </c>
      <c r="G28" s="52">
        <f t="shared" si="9"/>
        <v>8.8874999999999993</v>
      </c>
      <c r="H28" s="53">
        <f t="shared" si="9"/>
        <v>11.45</v>
      </c>
      <c r="I28" s="52">
        <f t="shared" si="9"/>
        <v>10.1175</v>
      </c>
      <c r="J28" s="53">
        <f t="shared" si="9"/>
        <v>13.44</v>
      </c>
      <c r="K28" s="52">
        <f t="shared" si="9"/>
        <v>23.347499999999997</v>
      </c>
      <c r="L28" s="53">
        <f t="shared" si="9"/>
        <v>27.74</v>
      </c>
      <c r="M28" s="52">
        <f t="shared" si="9"/>
        <v>219.9975</v>
      </c>
      <c r="N28" s="54">
        <f t="shared" si="9"/>
        <v>277.71999999999997</v>
      </c>
    </row>
    <row r="29" spans="2:14" ht="15.75" thickBot="1" x14ac:dyDescent="0.3">
      <c r="B29" s="230"/>
      <c r="C29" s="22"/>
      <c r="D29" s="13" t="s">
        <v>12</v>
      </c>
      <c r="E29" s="18"/>
      <c r="F29" s="43"/>
      <c r="G29" s="14">
        <f t="shared" ref="G29:N29" si="10">G28+G23+G15+G12</f>
        <v>44.995000000000005</v>
      </c>
      <c r="H29" s="33">
        <f t="shared" si="10"/>
        <v>56.5</v>
      </c>
      <c r="I29" s="14">
        <f t="shared" si="10"/>
        <v>36.826999999999998</v>
      </c>
      <c r="J29" s="33">
        <f t="shared" si="10"/>
        <v>47.203999999999994</v>
      </c>
      <c r="K29" s="14">
        <f t="shared" si="10"/>
        <v>162.91149999999999</v>
      </c>
      <c r="L29" s="33">
        <f t="shared" si="10"/>
        <v>196.00699999999998</v>
      </c>
      <c r="M29" s="14">
        <f t="shared" si="10"/>
        <v>1163.069</v>
      </c>
      <c r="N29" s="35">
        <f t="shared" si="10"/>
        <v>1434.8639999999998</v>
      </c>
    </row>
  </sheetData>
  <mergeCells count="15">
    <mergeCell ref="M4:N5"/>
    <mergeCell ref="G5:H5"/>
    <mergeCell ref="I5:J5"/>
    <mergeCell ref="K5:L5"/>
    <mergeCell ref="B3:E3"/>
    <mergeCell ref="B4:B6"/>
    <mergeCell ref="C4:C6"/>
    <mergeCell ref="D4:D6"/>
    <mergeCell ref="E4:F5"/>
    <mergeCell ref="G4:L4"/>
    <mergeCell ref="B7:B29"/>
    <mergeCell ref="C7:N7"/>
    <mergeCell ref="C13:N13"/>
    <mergeCell ref="C16:N16"/>
    <mergeCell ref="C24:N24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сводная</vt:lpstr>
      <vt:lpstr>1-пн</vt:lpstr>
      <vt:lpstr>1-вт</vt:lpstr>
      <vt:lpstr>1-ср</vt:lpstr>
      <vt:lpstr>1-чт</vt:lpstr>
      <vt:lpstr>1-пт</vt:lpstr>
      <vt:lpstr>2-пн</vt:lpstr>
      <vt:lpstr>2-вт</vt:lpstr>
      <vt:lpstr>2-ср</vt:lpstr>
      <vt:lpstr>2-чт</vt:lpstr>
      <vt:lpstr>2-пт</vt:lpstr>
      <vt:lpstr>000</vt:lpstr>
      <vt:lpstr>'1-вт'!Область_печати</vt:lpstr>
      <vt:lpstr>'1-пн'!Область_печати</vt:lpstr>
      <vt:lpstr>'1-пт'!Область_печати</vt:lpstr>
      <vt:lpstr>'1-ср'!Область_печати</vt:lpstr>
      <vt:lpstr>'1-чт'!Область_печати</vt:lpstr>
      <vt:lpstr>'2-вт'!Область_печати</vt:lpstr>
      <vt:lpstr>'2-пн'!Область_печати</vt:lpstr>
      <vt:lpstr>'2-пт'!Область_печати</vt:lpstr>
      <vt:lpstr>'2-ср'!Область_печати</vt:lpstr>
      <vt:lpstr>'2-чт'!Область_печати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2024-04-09T06:15:39Z</dcterms:modified>
</cp:coreProperties>
</file>